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S:\573 Domov pro seniory Vrchlabi\4 - PD\2a - DBP archiv\DBP 2\ROZPOCET\2022-04-06 ROZPOCET - Uzamceni SP - email od Capka\"/>
    </mc:Choice>
  </mc:AlternateContent>
  <xr:revisionPtr revIDLastSave="0" documentId="13_ncr:1_{CABE28CC-8904-42E8-9858-4084126D837C}" xr6:coauthVersionLast="47" xr6:coauthVersionMax="47" xr10:uidLastSave="{00000000-0000-0000-0000-000000000000}"/>
  <bookViews>
    <workbookView xWindow="270" yWindow="75" windowWidth="23670" windowHeight="16890" tabRatio="974" xr2:uid="{00000000-000D-0000-FFFF-FFFF00000000}"/>
  </bookViews>
  <sheets>
    <sheet name="KL" sheetId="2" r:id="rId1"/>
    <sheet name="VRN" sheetId="3" r:id="rId2"/>
    <sheet name="1 - GARÁŽ - BP" sheetId="23" r:id="rId3"/>
    <sheet name="1 - ODPOJENÍ OD VODOVODU" sheetId="33" r:id="rId4"/>
    <sheet name="1 - ODPOJENÍ OD KANALIZACE" sheetId="34" r:id="rId5"/>
    <sheet name="1 - ODPOJENÍ OD SILOVÉHO VEDENÍ" sheetId="31" r:id="rId6"/>
    <sheet name="2_a - DÍLNA" sheetId="25" r:id="rId7"/>
    <sheet name="2 - ODPOJENÍ OD SILOVÉHO VEDENÍ" sheetId="32" r:id="rId8"/>
    <sheet name="2_b - SKLENÍK" sheetId="26" r:id="rId9"/>
    <sheet name="ZPEVNĚNÉ PLOCHY + SADOVKY" sheetId="27" r:id="rId10"/>
  </sheets>
  <externalReferences>
    <externalReference r:id="rId11"/>
    <externalReference r:id="rId12"/>
    <externalReference r:id="rId13"/>
    <externalReference r:id="rId14"/>
    <externalReference r:id="rId15"/>
  </externalReferences>
  <definedNames>
    <definedName name="_______________________obl11">#REF!</definedName>
    <definedName name="_______________________obl12">#REF!</definedName>
    <definedName name="_______________________obl13">#REF!</definedName>
    <definedName name="_______________________obl14">#REF!</definedName>
    <definedName name="_______________________obl15">#REF!</definedName>
    <definedName name="_______________________obl16">#REF!</definedName>
    <definedName name="_______________________obl17">#REF!</definedName>
    <definedName name="_______________________obl1710">#REF!</definedName>
    <definedName name="_______________________obl1711">#REF!</definedName>
    <definedName name="_______________________obl1712">#REF!</definedName>
    <definedName name="_______________________obl1713">#REF!</definedName>
    <definedName name="_______________________obl1714">#REF!</definedName>
    <definedName name="_______________________obl1715">#REF!</definedName>
    <definedName name="_______________________obl1716">#REF!</definedName>
    <definedName name="_______________________obl1717">#REF!</definedName>
    <definedName name="_______________________obl1718">#REF!</definedName>
    <definedName name="_______________________obl1719">#REF!</definedName>
    <definedName name="_______________________obl173">#REF!</definedName>
    <definedName name="_______________________obl174">#REF!</definedName>
    <definedName name="_______________________obl175">#REF!</definedName>
    <definedName name="_______________________obl176">#REF!</definedName>
    <definedName name="_______________________obl177">#REF!</definedName>
    <definedName name="_______________________obl178">#REF!</definedName>
    <definedName name="_______________________obl179">#REF!</definedName>
    <definedName name="_______________________obl18">#REF!</definedName>
    <definedName name="_______________________obl181">#REF!</definedName>
    <definedName name="_______________________obl1816">#REF!</definedName>
    <definedName name="_______________________obl1820">#REF!</definedName>
    <definedName name="_______________________obl1821">#REF!</definedName>
    <definedName name="_______________________obl1822">#REF!</definedName>
    <definedName name="_______________________obl1823">#REF!</definedName>
    <definedName name="_______________________obl1824">#REF!</definedName>
    <definedName name="_______________________obl1825">#REF!</definedName>
    <definedName name="_______________________obl1826">#REF!</definedName>
    <definedName name="_______________________obl1827">#REF!</definedName>
    <definedName name="_______________________obl1828">#REF!</definedName>
    <definedName name="_______________________obl1829">#REF!</definedName>
    <definedName name="_______________________obl183">#REF!</definedName>
    <definedName name="_______________________obl1831">#REF!</definedName>
    <definedName name="_______________________obl1832">#REF!</definedName>
    <definedName name="_______________________obl184">#REF!</definedName>
    <definedName name="_______________________obl185">#REF!</definedName>
    <definedName name="_______________________obl186">#REF!</definedName>
    <definedName name="_______________________obl187">#REF!</definedName>
    <definedName name="_____________________obl11" localSheetId="4">#REF!</definedName>
    <definedName name="_____________________obl11" localSheetId="5">#REF!</definedName>
    <definedName name="_____________________obl11" localSheetId="3">#REF!</definedName>
    <definedName name="_____________________obl11" localSheetId="7">#REF!</definedName>
    <definedName name="_____________________obl11">#REF!</definedName>
    <definedName name="_____________________obl12" localSheetId="4">#REF!</definedName>
    <definedName name="_____________________obl12" localSheetId="5">#REF!</definedName>
    <definedName name="_____________________obl12" localSheetId="3">#REF!</definedName>
    <definedName name="_____________________obl12" localSheetId="7">#REF!</definedName>
    <definedName name="_____________________obl12">#REF!</definedName>
    <definedName name="_____________________obl13" localSheetId="4">#REF!</definedName>
    <definedName name="_____________________obl13" localSheetId="5">#REF!</definedName>
    <definedName name="_____________________obl13" localSheetId="3">#REF!</definedName>
    <definedName name="_____________________obl13" localSheetId="7">#REF!</definedName>
    <definedName name="_____________________obl13">#REF!</definedName>
    <definedName name="_____________________obl14" localSheetId="4">#REF!</definedName>
    <definedName name="_____________________obl14" localSheetId="5">#REF!</definedName>
    <definedName name="_____________________obl14" localSheetId="3">#REF!</definedName>
    <definedName name="_____________________obl14" localSheetId="7">#REF!</definedName>
    <definedName name="_____________________obl14">#REF!</definedName>
    <definedName name="_____________________obl15" localSheetId="4">#REF!</definedName>
    <definedName name="_____________________obl15" localSheetId="5">#REF!</definedName>
    <definedName name="_____________________obl15" localSheetId="3">#REF!</definedName>
    <definedName name="_____________________obl15" localSheetId="7">#REF!</definedName>
    <definedName name="_____________________obl15">#REF!</definedName>
    <definedName name="_____________________obl16" localSheetId="4">#REF!</definedName>
    <definedName name="_____________________obl16" localSheetId="5">#REF!</definedName>
    <definedName name="_____________________obl16" localSheetId="3">#REF!</definedName>
    <definedName name="_____________________obl16" localSheetId="7">#REF!</definedName>
    <definedName name="_____________________obl16">#REF!</definedName>
    <definedName name="_____________________obl17" localSheetId="4">#REF!</definedName>
    <definedName name="_____________________obl17" localSheetId="5">#REF!</definedName>
    <definedName name="_____________________obl17" localSheetId="3">#REF!</definedName>
    <definedName name="_____________________obl17" localSheetId="7">#REF!</definedName>
    <definedName name="_____________________obl17">#REF!</definedName>
    <definedName name="_____________________obl1710" localSheetId="4">#REF!</definedName>
    <definedName name="_____________________obl1710" localSheetId="5">#REF!</definedName>
    <definedName name="_____________________obl1710" localSheetId="3">#REF!</definedName>
    <definedName name="_____________________obl1710" localSheetId="7">#REF!</definedName>
    <definedName name="_____________________obl1710">#REF!</definedName>
    <definedName name="_____________________obl1711" localSheetId="4">#REF!</definedName>
    <definedName name="_____________________obl1711" localSheetId="5">#REF!</definedName>
    <definedName name="_____________________obl1711" localSheetId="3">#REF!</definedName>
    <definedName name="_____________________obl1711" localSheetId="7">#REF!</definedName>
    <definedName name="_____________________obl1711">#REF!</definedName>
    <definedName name="_____________________obl1712" localSheetId="4">#REF!</definedName>
    <definedName name="_____________________obl1712" localSheetId="5">#REF!</definedName>
    <definedName name="_____________________obl1712" localSheetId="3">#REF!</definedName>
    <definedName name="_____________________obl1712" localSheetId="7">#REF!</definedName>
    <definedName name="_____________________obl1712">#REF!</definedName>
    <definedName name="_____________________obl1713" localSheetId="4">#REF!</definedName>
    <definedName name="_____________________obl1713" localSheetId="5">#REF!</definedName>
    <definedName name="_____________________obl1713" localSheetId="3">#REF!</definedName>
    <definedName name="_____________________obl1713" localSheetId="7">#REF!</definedName>
    <definedName name="_____________________obl1713">#REF!</definedName>
    <definedName name="_____________________obl1714" localSheetId="4">#REF!</definedName>
    <definedName name="_____________________obl1714" localSheetId="5">#REF!</definedName>
    <definedName name="_____________________obl1714" localSheetId="3">#REF!</definedName>
    <definedName name="_____________________obl1714" localSheetId="7">#REF!</definedName>
    <definedName name="_____________________obl1714">#REF!</definedName>
    <definedName name="_____________________obl1715" localSheetId="4">#REF!</definedName>
    <definedName name="_____________________obl1715" localSheetId="5">#REF!</definedName>
    <definedName name="_____________________obl1715" localSheetId="3">#REF!</definedName>
    <definedName name="_____________________obl1715" localSheetId="7">#REF!</definedName>
    <definedName name="_____________________obl1715">#REF!</definedName>
    <definedName name="_____________________obl1716" localSheetId="4">#REF!</definedName>
    <definedName name="_____________________obl1716" localSheetId="5">#REF!</definedName>
    <definedName name="_____________________obl1716" localSheetId="3">#REF!</definedName>
    <definedName name="_____________________obl1716" localSheetId="7">#REF!</definedName>
    <definedName name="_____________________obl1716">#REF!</definedName>
    <definedName name="_____________________obl1717" localSheetId="4">#REF!</definedName>
    <definedName name="_____________________obl1717" localSheetId="5">#REF!</definedName>
    <definedName name="_____________________obl1717" localSheetId="3">#REF!</definedName>
    <definedName name="_____________________obl1717" localSheetId="7">#REF!</definedName>
    <definedName name="_____________________obl1717">#REF!</definedName>
    <definedName name="_____________________obl1718" localSheetId="4">#REF!</definedName>
    <definedName name="_____________________obl1718" localSheetId="5">#REF!</definedName>
    <definedName name="_____________________obl1718" localSheetId="3">#REF!</definedName>
    <definedName name="_____________________obl1718" localSheetId="7">#REF!</definedName>
    <definedName name="_____________________obl1718">#REF!</definedName>
    <definedName name="_____________________obl1719" localSheetId="4">#REF!</definedName>
    <definedName name="_____________________obl1719" localSheetId="5">#REF!</definedName>
    <definedName name="_____________________obl1719" localSheetId="3">#REF!</definedName>
    <definedName name="_____________________obl1719" localSheetId="7">#REF!</definedName>
    <definedName name="_____________________obl1719">#REF!</definedName>
    <definedName name="_____________________obl173" localSheetId="4">#REF!</definedName>
    <definedName name="_____________________obl173" localSheetId="5">#REF!</definedName>
    <definedName name="_____________________obl173" localSheetId="3">#REF!</definedName>
    <definedName name="_____________________obl173" localSheetId="7">#REF!</definedName>
    <definedName name="_____________________obl173">#REF!</definedName>
    <definedName name="_____________________obl174" localSheetId="4">#REF!</definedName>
    <definedName name="_____________________obl174" localSheetId="5">#REF!</definedName>
    <definedName name="_____________________obl174" localSheetId="3">#REF!</definedName>
    <definedName name="_____________________obl174" localSheetId="7">#REF!</definedName>
    <definedName name="_____________________obl174">#REF!</definedName>
    <definedName name="_____________________obl175" localSheetId="4">#REF!</definedName>
    <definedName name="_____________________obl175" localSheetId="5">#REF!</definedName>
    <definedName name="_____________________obl175" localSheetId="3">#REF!</definedName>
    <definedName name="_____________________obl175" localSheetId="7">#REF!</definedName>
    <definedName name="_____________________obl175">#REF!</definedName>
    <definedName name="_____________________obl176" localSheetId="4">#REF!</definedName>
    <definedName name="_____________________obl176" localSheetId="5">#REF!</definedName>
    <definedName name="_____________________obl176" localSheetId="3">#REF!</definedName>
    <definedName name="_____________________obl176" localSheetId="7">#REF!</definedName>
    <definedName name="_____________________obl176">#REF!</definedName>
    <definedName name="_____________________obl177" localSheetId="4">#REF!</definedName>
    <definedName name="_____________________obl177" localSheetId="5">#REF!</definedName>
    <definedName name="_____________________obl177" localSheetId="3">#REF!</definedName>
    <definedName name="_____________________obl177" localSheetId="7">#REF!</definedName>
    <definedName name="_____________________obl177">#REF!</definedName>
    <definedName name="_____________________obl178" localSheetId="4">#REF!</definedName>
    <definedName name="_____________________obl178" localSheetId="5">#REF!</definedName>
    <definedName name="_____________________obl178" localSheetId="3">#REF!</definedName>
    <definedName name="_____________________obl178" localSheetId="7">#REF!</definedName>
    <definedName name="_____________________obl178">#REF!</definedName>
    <definedName name="_____________________obl179" localSheetId="4">#REF!</definedName>
    <definedName name="_____________________obl179" localSheetId="5">#REF!</definedName>
    <definedName name="_____________________obl179" localSheetId="3">#REF!</definedName>
    <definedName name="_____________________obl179" localSheetId="7">#REF!</definedName>
    <definedName name="_____________________obl179">#REF!</definedName>
    <definedName name="_____________________obl18" localSheetId="4">#REF!</definedName>
    <definedName name="_____________________obl18" localSheetId="5">#REF!</definedName>
    <definedName name="_____________________obl18" localSheetId="3">#REF!</definedName>
    <definedName name="_____________________obl18" localSheetId="7">#REF!</definedName>
    <definedName name="_____________________obl18">#REF!</definedName>
    <definedName name="_____________________obl181" localSheetId="4">#REF!</definedName>
    <definedName name="_____________________obl181" localSheetId="5">#REF!</definedName>
    <definedName name="_____________________obl181" localSheetId="3">#REF!</definedName>
    <definedName name="_____________________obl181" localSheetId="7">#REF!</definedName>
    <definedName name="_____________________obl181">#REF!</definedName>
    <definedName name="_____________________obl1816" localSheetId="4">#REF!</definedName>
    <definedName name="_____________________obl1816" localSheetId="5">#REF!</definedName>
    <definedName name="_____________________obl1816" localSheetId="3">#REF!</definedName>
    <definedName name="_____________________obl1816" localSheetId="7">#REF!</definedName>
    <definedName name="_____________________obl1816">#REF!</definedName>
    <definedName name="_____________________obl1820" localSheetId="4">#REF!</definedName>
    <definedName name="_____________________obl1820" localSheetId="5">#REF!</definedName>
    <definedName name="_____________________obl1820" localSheetId="3">#REF!</definedName>
    <definedName name="_____________________obl1820" localSheetId="7">#REF!</definedName>
    <definedName name="_____________________obl1820">#REF!</definedName>
    <definedName name="_____________________obl1821" localSheetId="4">#REF!</definedName>
    <definedName name="_____________________obl1821" localSheetId="5">#REF!</definedName>
    <definedName name="_____________________obl1821" localSheetId="3">#REF!</definedName>
    <definedName name="_____________________obl1821" localSheetId="7">#REF!</definedName>
    <definedName name="_____________________obl1821">#REF!</definedName>
    <definedName name="_____________________obl1822" localSheetId="4">#REF!</definedName>
    <definedName name="_____________________obl1822" localSheetId="5">#REF!</definedName>
    <definedName name="_____________________obl1822" localSheetId="3">#REF!</definedName>
    <definedName name="_____________________obl1822" localSheetId="7">#REF!</definedName>
    <definedName name="_____________________obl1822">#REF!</definedName>
    <definedName name="_____________________obl1823" localSheetId="4">#REF!</definedName>
    <definedName name="_____________________obl1823" localSheetId="5">#REF!</definedName>
    <definedName name="_____________________obl1823" localSheetId="3">#REF!</definedName>
    <definedName name="_____________________obl1823" localSheetId="7">#REF!</definedName>
    <definedName name="_____________________obl1823">#REF!</definedName>
    <definedName name="_____________________obl1824" localSheetId="4">#REF!</definedName>
    <definedName name="_____________________obl1824" localSheetId="5">#REF!</definedName>
    <definedName name="_____________________obl1824" localSheetId="3">#REF!</definedName>
    <definedName name="_____________________obl1824" localSheetId="7">#REF!</definedName>
    <definedName name="_____________________obl1824">#REF!</definedName>
    <definedName name="_____________________obl1825" localSheetId="4">#REF!</definedName>
    <definedName name="_____________________obl1825" localSheetId="5">#REF!</definedName>
    <definedName name="_____________________obl1825" localSheetId="3">#REF!</definedName>
    <definedName name="_____________________obl1825" localSheetId="7">#REF!</definedName>
    <definedName name="_____________________obl1825">#REF!</definedName>
    <definedName name="_____________________obl1826" localSheetId="4">#REF!</definedName>
    <definedName name="_____________________obl1826" localSheetId="5">#REF!</definedName>
    <definedName name="_____________________obl1826" localSheetId="3">#REF!</definedName>
    <definedName name="_____________________obl1826" localSheetId="7">#REF!</definedName>
    <definedName name="_____________________obl1826">#REF!</definedName>
    <definedName name="_____________________obl1827" localSheetId="4">#REF!</definedName>
    <definedName name="_____________________obl1827" localSheetId="5">#REF!</definedName>
    <definedName name="_____________________obl1827" localSheetId="3">#REF!</definedName>
    <definedName name="_____________________obl1827" localSheetId="7">#REF!</definedName>
    <definedName name="_____________________obl1827">#REF!</definedName>
    <definedName name="_____________________obl1828" localSheetId="4">#REF!</definedName>
    <definedName name="_____________________obl1828" localSheetId="5">#REF!</definedName>
    <definedName name="_____________________obl1828" localSheetId="3">#REF!</definedName>
    <definedName name="_____________________obl1828" localSheetId="7">#REF!</definedName>
    <definedName name="_____________________obl1828">#REF!</definedName>
    <definedName name="_____________________obl1829" localSheetId="4">#REF!</definedName>
    <definedName name="_____________________obl1829" localSheetId="5">#REF!</definedName>
    <definedName name="_____________________obl1829" localSheetId="3">#REF!</definedName>
    <definedName name="_____________________obl1829" localSheetId="7">#REF!</definedName>
    <definedName name="_____________________obl1829">#REF!</definedName>
    <definedName name="_____________________obl183" localSheetId="4">#REF!</definedName>
    <definedName name="_____________________obl183" localSheetId="5">#REF!</definedName>
    <definedName name="_____________________obl183" localSheetId="3">#REF!</definedName>
    <definedName name="_____________________obl183" localSheetId="7">#REF!</definedName>
    <definedName name="_____________________obl183">#REF!</definedName>
    <definedName name="_____________________obl1831" localSheetId="4">#REF!</definedName>
    <definedName name="_____________________obl1831" localSheetId="5">#REF!</definedName>
    <definedName name="_____________________obl1831" localSheetId="3">#REF!</definedName>
    <definedName name="_____________________obl1831" localSheetId="7">#REF!</definedName>
    <definedName name="_____________________obl1831">#REF!</definedName>
    <definedName name="_____________________obl1832" localSheetId="4">#REF!</definedName>
    <definedName name="_____________________obl1832" localSheetId="5">#REF!</definedName>
    <definedName name="_____________________obl1832" localSheetId="3">#REF!</definedName>
    <definedName name="_____________________obl1832" localSheetId="7">#REF!</definedName>
    <definedName name="_____________________obl1832">#REF!</definedName>
    <definedName name="_____________________obl184" localSheetId="4">#REF!</definedName>
    <definedName name="_____________________obl184" localSheetId="5">#REF!</definedName>
    <definedName name="_____________________obl184" localSheetId="3">#REF!</definedName>
    <definedName name="_____________________obl184" localSheetId="7">#REF!</definedName>
    <definedName name="_____________________obl184">#REF!</definedName>
    <definedName name="_____________________obl185" localSheetId="4">#REF!</definedName>
    <definedName name="_____________________obl185" localSheetId="5">#REF!</definedName>
    <definedName name="_____________________obl185" localSheetId="3">#REF!</definedName>
    <definedName name="_____________________obl185" localSheetId="7">#REF!</definedName>
    <definedName name="_____________________obl185">#REF!</definedName>
    <definedName name="_____________________obl186" localSheetId="4">#REF!</definedName>
    <definedName name="_____________________obl186" localSheetId="5">#REF!</definedName>
    <definedName name="_____________________obl186" localSheetId="3">#REF!</definedName>
    <definedName name="_____________________obl186" localSheetId="7">#REF!</definedName>
    <definedName name="_____________________obl186">#REF!</definedName>
    <definedName name="_____________________obl187" localSheetId="4">#REF!</definedName>
    <definedName name="_____________________obl187" localSheetId="5">#REF!</definedName>
    <definedName name="_____________________obl187" localSheetId="3">#REF!</definedName>
    <definedName name="_____________________obl187" localSheetId="7">#REF!</definedName>
    <definedName name="_____________________obl187">#REF!</definedName>
    <definedName name="____________________obl11" localSheetId="5">#REF!</definedName>
    <definedName name="____________________obl11" localSheetId="7">#REF!</definedName>
    <definedName name="____________________obl12" localSheetId="5">#REF!</definedName>
    <definedName name="____________________obl12" localSheetId="7">#REF!</definedName>
    <definedName name="____________________obl13" localSheetId="5">#REF!</definedName>
    <definedName name="____________________obl13" localSheetId="7">#REF!</definedName>
    <definedName name="____________________obl14" localSheetId="5">#REF!</definedName>
    <definedName name="____________________obl14" localSheetId="7">#REF!</definedName>
    <definedName name="____________________obl15" localSheetId="5">#REF!</definedName>
    <definedName name="____________________obl15" localSheetId="7">#REF!</definedName>
    <definedName name="____________________obl16" localSheetId="5">#REF!</definedName>
    <definedName name="____________________obl16" localSheetId="7">#REF!</definedName>
    <definedName name="____________________obl17" localSheetId="5">#REF!</definedName>
    <definedName name="____________________obl17" localSheetId="7">#REF!</definedName>
    <definedName name="____________________obl1710" localSheetId="5">#REF!</definedName>
    <definedName name="____________________obl1710" localSheetId="7">#REF!</definedName>
    <definedName name="____________________obl1711" localSheetId="5">#REF!</definedName>
    <definedName name="____________________obl1711" localSheetId="7">#REF!</definedName>
    <definedName name="____________________obl1712" localSheetId="5">#REF!</definedName>
    <definedName name="____________________obl1712" localSheetId="7">#REF!</definedName>
    <definedName name="____________________obl1713" localSheetId="5">#REF!</definedName>
    <definedName name="____________________obl1713" localSheetId="7">#REF!</definedName>
    <definedName name="____________________obl1714" localSheetId="5">#REF!</definedName>
    <definedName name="____________________obl1714" localSheetId="7">#REF!</definedName>
    <definedName name="____________________obl1715" localSheetId="5">#REF!</definedName>
    <definedName name="____________________obl1715" localSheetId="7">#REF!</definedName>
    <definedName name="____________________obl1716" localSheetId="5">#REF!</definedName>
    <definedName name="____________________obl1716" localSheetId="7">#REF!</definedName>
    <definedName name="____________________obl1717" localSheetId="5">#REF!</definedName>
    <definedName name="____________________obl1717" localSheetId="7">#REF!</definedName>
    <definedName name="____________________obl1718" localSheetId="5">#REF!</definedName>
    <definedName name="____________________obl1718" localSheetId="7">#REF!</definedName>
    <definedName name="____________________obl1719" localSheetId="5">#REF!</definedName>
    <definedName name="____________________obl1719" localSheetId="7">#REF!</definedName>
    <definedName name="____________________obl173" localSheetId="5">#REF!</definedName>
    <definedName name="____________________obl173" localSheetId="7">#REF!</definedName>
    <definedName name="____________________obl174" localSheetId="5">#REF!</definedName>
    <definedName name="____________________obl174" localSheetId="7">#REF!</definedName>
    <definedName name="____________________obl175" localSheetId="5">#REF!</definedName>
    <definedName name="____________________obl175" localSheetId="7">#REF!</definedName>
    <definedName name="____________________obl176" localSheetId="5">#REF!</definedName>
    <definedName name="____________________obl176" localSheetId="7">#REF!</definedName>
    <definedName name="____________________obl177" localSheetId="5">#REF!</definedName>
    <definedName name="____________________obl177" localSheetId="7">#REF!</definedName>
    <definedName name="____________________obl178" localSheetId="5">#REF!</definedName>
    <definedName name="____________________obl178" localSheetId="7">#REF!</definedName>
    <definedName name="____________________obl179" localSheetId="5">#REF!</definedName>
    <definedName name="____________________obl179" localSheetId="7">#REF!</definedName>
    <definedName name="____________________obl18" localSheetId="5">#REF!</definedName>
    <definedName name="____________________obl18" localSheetId="7">#REF!</definedName>
    <definedName name="____________________obl181" localSheetId="5">#REF!</definedName>
    <definedName name="____________________obl181" localSheetId="7">#REF!</definedName>
    <definedName name="____________________obl1816" localSheetId="5">#REF!</definedName>
    <definedName name="____________________obl1816" localSheetId="7">#REF!</definedName>
    <definedName name="____________________obl1820" localSheetId="5">#REF!</definedName>
    <definedName name="____________________obl1820" localSheetId="7">#REF!</definedName>
    <definedName name="____________________obl1821" localSheetId="5">#REF!</definedName>
    <definedName name="____________________obl1821" localSheetId="7">#REF!</definedName>
    <definedName name="____________________obl1822" localSheetId="5">#REF!</definedName>
    <definedName name="____________________obl1822" localSheetId="7">#REF!</definedName>
    <definedName name="____________________obl1823" localSheetId="5">#REF!</definedName>
    <definedName name="____________________obl1823" localSheetId="7">#REF!</definedName>
    <definedName name="____________________obl1824" localSheetId="5">#REF!</definedName>
    <definedName name="____________________obl1824" localSheetId="7">#REF!</definedName>
    <definedName name="____________________obl1825" localSheetId="5">#REF!</definedName>
    <definedName name="____________________obl1825" localSheetId="7">#REF!</definedName>
    <definedName name="____________________obl1826" localSheetId="5">#REF!</definedName>
    <definedName name="____________________obl1826" localSheetId="7">#REF!</definedName>
    <definedName name="____________________obl1827" localSheetId="5">#REF!</definedName>
    <definedName name="____________________obl1827" localSheetId="7">#REF!</definedName>
    <definedName name="____________________obl1828" localSheetId="5">#REF!</definedName>
    <definedName name="____________________obl1828" localSheetId="7">#REF!</definedName>
    <definedName name="____________________obl1829" localSheetId="5">#REF!</definedName>
    <definedName name="____________________obl1829" localSheetId="7">#REF!</definedName>
    <definedName name="____________________obl183" localSheetId="5">#REF!</definedName>
    <definedName name="____________________obl183" localSheetId="7">#REF!</definedName>
    <definedName name="____________________obl1831" localSheetId="5">#REF!</definedName>
    <definedName name="____________________obl1831" localSheetId="7">#REF!</definedName>
    <definedName name="____________________obl1832" localSheetId="5">#REF!</definedName>
    <definedName name="____________________obl1832" localSheetId="7">#REF!</definedName>
    <definedName name="____________________obl184" localSheetId="5">#REF!</definedName>
    <definedName name="____________________obl184" localSheetId="7">#REF!</definedName>
    <definedName name="____________________obl185" localSheetId="5">#REF!</definedName>
    <definedName name="____________________obl185" localSheetId="7">#REF!</definedName>
    <definedName name="____________________obl186" localSheetId="5">#REF!</definedName>
    <definedName name="____________________obl186" localSheetId="7">#REF!</definedName>
    <definedName name="____________________obl187" localSheetId="5">#REF!</definedName>
    <definedName name="____________________obl187" localSheetId="7">#REF!</definedName>
    <definedName name="___________________obl11" localSheetId="4">#REF!</definedName>
    <definedName name="___________________obl11" localSheetId="5">#REF!</definedName>
    <definedName name="___________________obl11" localSheetId="3">#REF!</definedName>
    <definedName name="___________________obl11" localSheetId="7">#REF!</definedName>
    <definedName name="___________________obl11">#REF!</definedName>
    <definedName name="___________________obl12" localSheetId="4">#REF!</definedName>
    <definedName name="___________________obl12" localSheetId="5">#REF!</definedName>
    <definedName name="___________________obl12" localSheetId="3">#REF!</definedName>
    <definedName name="___________________obl12" localSheetId="7">#REF!</definedName>
    <definedName name="___________________obl12">#REF!</definedName>
    <definedName name="___________________obl13" localSheetId="4">#REF!</definedName>
    <definedName name="___________________obl13" localSheetId="5">#REF!</definedName>
    <definedName name="___________________obl13" localSheetId="3">#REF!</definedName>
    <definedName name="___________________obl13" localSheetId="7">#REF!</definedName>
    <definedName name="___________________obl13">#REF!</definedName>
    <definedName name="___________________obl14" localSheetId="4">#REF!</definedName>
    <definedName name="___________________obl14" localSheetId="5">#REF!</definedName>
    <definedName name="___________________obl14" localSheetId="3">#REF!</definedName>
    <definedName name="___________________obl14" localSheetId="7">#REF!</definedName>
    <definedName name="___________________obl14">#REF!</definedName>
    <definedName name="___________________obl15" localSheetId="4">#REF!</definedName>
    <definedName name="___________________obl15" localSheetId="5">#REF!</definedName>
    <definedName name="___________________obl15" localSheetId="3">#REF!</definedName>
    <definedName name="___________________obl15" localSheetId="7">#REF!</definedName>
    <definedName name="___________________obl15">#REF!</definedName>
    <definedName name="___________________obl16" localSheetId="4">#REF!</definedName>
    <definedName name="___________________obl16" localSheetId="5">#REF!</definedName>
    <definedName name="___________________obl16" localSheetId="3">#REF!</definedName>
    <definedName name="___________________obl16" localSheetId="7">#REF!</definedName>
    <definedName name="___________________obl16">#REF!</definedName>
    <definedName name="___________________obl17" localSheetId="4">#REF!</definedName>
    <definedName name="___________________obl17" localSheetId="5">#REF!</definedName>
    <definedName name="___________________obl17" localSheetId="3">#REF!</definedName>
    <definedName name="___________________obl17" localSheetId="7">#REF!</definedName>
    <definedName name="___________________obl17">#REF!</definedName>
    <definedName name="___________________obl1710" localSheetId="4">#REF!</definedName>
    <definedName name="___________________obl1710" localSheetId="5">#REF!</definedName>
    <definedName name="___________________obl1710" localSheetId="3">#REF!</definedName>
    <definedName name="___________________obl1710" localSheetId="7">#REF!</definedName>
    <definedName name="___________________obl1710">#REF!</definedName>
    <definedName name="___________________obl1711" localSheetId="4">#REF!</definedName>
    <definedName name="___________________obl1711" localSheetId="5">#REF!</definedName>
    <definedName name="___________________obl1711" localSheetId="3">#REF!</definedName>
    <definedName name="___________________obl1711" localSheetId="7">#REF!</definedName>
    <definedName name="___________________obl1711">#REF!</definedName>
    <definedName name="___________________obl1712" localSheetId="4">#REF!</definedName>
    <definedName name="___________________obl1712" localSheetId="5">#REF!</definedName>
    <definedName name="___________________obl1712" localSheetId="3">#REF!</definedName>
    <definedName name="___________________obl1712" localSheetId="7">#REF!</definedName>
    <definedName name="___________________obl1712">#REF!</definedName>
    <definedName name="___________________obl1713" localSheetId="4">#REF!</definedName>
    <definedName name="___________________obl1713" localSheetId="5">#REF!</definedName>
    <definedName name="___________________obl1713" localSheetId="3">#REF!</definedName>
    <definedName name="___________________obl1713" localSheetId="7">#REF!</definedName>
    <definedName name="___________________obl1713">#REF!</definedName>
    <definedName name="___________________obl1714" localSheetId="4">#REF!</definedName>
    <definedName name="___________________obl1714" localSheetId="5">#REF!</definedName>
    <definedName name="___________________obl1714" localSheetId="3">#REF!</definedName>
    <definedName name="___________________obl1714" localSheetId="7">#REF!</definedName>
    <definedName name="___________________obl1714">#REF!</definedName>
    <definedName name="___________________obl1715" localSheetId="4">#REF!</definedName>
    <definedName name="___________________obl1715" localSheetId="5">#REF!</definedName>
    <definedName name="___________________obl1715" localSheetId="3">#REF!</definedName>
    <definedName name="___________________obl1715" localSheetId="7">#REF!</definedName>
    <definedName name="___________________obl1715">#REF!</definedName>
    <definedName name="___________________obl1716" localSheetId="4">#REF!</definedName>
    <definedName name="___________________obl1716" localSheetId="5">#REF!</definedName>
    <definedName name="___________________obl1716" localSheetId="3">#REF!</definedName>
    <definedName name="___________________obl1716" localSheetId="7">#REF!</definedName>
    <definedName name="___________________obl1716">#REF!</definedName>
    <definedName name="___________________obl1717" localSheetId="4">#REF!</definedName>
    <definedName name="___________________obl1717" localSheetId="5">#REF!</definedName>
    <definedName name="___________________obl1717" localSheetId="3">#REF!</definedName>
    <definedName name="___________________obl1717" localSheetId="7">#REF!</definedName>
    <definedName name="___________________obl1717">#REF!</definedName>
    <definedName name="___________________obl1718" localSheetId="4">#REF!</definedName>
    <definedName name="___________________obl1718" localSheetId="5">#REF!</definedName>
    <definedName name="___________________obl1718" localSheetId="3">#REF!</definedName>
    <definedName name="___________________obl1718" localSheetId="7">#REF!</definedName>
    <definedName name="___________________obl1718">#REF!</definedName>
    <definedName name="___________________obl1719" localSheetId="4">#REF!</definedName>
    <definedName name="___________________obl1719" localSheetId="5">#REF!</definedName>
    <definedName name="___________________obl1719" localSheetId="3">#REF!</definedName>
    <definedName name="___________________obl1719" localSheetId="7">#REF!</definedName>
    <definedName name="___________________obl1719">#REF!</definedName>
    <definedName name="___________________obl173" localSheetId="4">#REF!</definedName>
    <definedName name="___________________obl173" localSheetId="5">#REF!</definedName>
    <definedName name="___________________obl173" localSheetId="3">#REF!</definedName>
    <definedName name="___________________obl173" localSheetId="7">#REF!</definedName>
    <definedName name="___________________obl173">#REF!</definedName>
    <definedName name="___________________obl174" localSheetId="4">#REF!</definedName>
    <definedName name="___________________obl174" localSheetId="5">#REF!</definedName>
    <definedName name="___________________obl174" localSheetId="3">#REF!</definedName>
    <definedName name="___________________obl174" localSheetId="7">#REF!</definedName>
    <definedName name="___________________obl174">#REF!</definedName>
    <definedName name="___________________obl175" localSheetId="4">#REF!</definedName>
    <definedName name="___________________obl175" localSheetId="5">#REF!</definedName>
    <definedName name="___________________obl175" localSheetId="3">#REF!</definedName>
    <definedName name="___________________obl175" localSheetId="7">#REF!</definedName>
    <definedName name="___________________obl175">#REF!</definedName>
    <definedName name="___________________obl176" localSheetId="4">#REF!</definedName>
    <definedName name="___________________obl176" localSheetId="5">#REF!</definedName>
    <definedName name="___________________obl176" localSheetId="3">#REF!</definedName>
    <definedName name="___________________obl176" localSheetId="7">#REF!</definedName>
    <definedName name="___________________obl176">#REF!</definedName>
    <definedName name="___________________obl177" localSheetId="4">#REF!</definedName>
    <definedName name="___________________obl177" localSheetId="5">#REF!</definedName>
    <definedName name="___________________obl177" localSheetId="3">#REF!</definedName>
    <definedName name="___________________obl177" localSheetId="7">#REF!</definedName>
    <definedName name="___________________obl177">#REF!</definedName>
    <definedName name="___________________obl178" localSheetId="4">#REF!</definedName>
    <definedName name="___________________obl178" localSheetId="5">#REF!</definedName>
    <definedName name="___________________obl178" localSheetId="3">#REF!</definedName>
    <definedName name="___________________obl178" localSheetId="7">#REF!</definedName>
    <definedName name="___________________obl178">#REF!</definedName>
    <definedName name="___________________obl179" localSheetId="4">#REF!</definedName>
    <definedName name="___________________obl179" localSheetId="5">#REF!</definedName>
    <definedName name="___________________obl179" localSheetId="3">#REF!</definedName>
    <definedName name="___________________obl179" localSheetId="7">#REF!</definedName>
    <definedName name="___________________obl179">#REF!</definedName>
    <definedName name="___________________obl18" localSheetId="4">#REF!</definedName>
    <definedName name="___________________obl18" localSheetId="5">#REF!</definedName>
    <definedName name="___________________obl18" localSheetId="3">#REF!</definedName>
    <definedName name="___________________obl18" localSheetId="7">#REF!</definedName>
    <definedName name="___________________obl18">#REF!</definedName>
    <definedName name="___________________obl181" localSheetId="4">#REF!</definedName>
    <definedName name="___________________obl181" localSheetId="5">#REF!</definedName>
    <definedName name="___________________obl181" localSheetId="3">#REF!</definedName>
    <definedName name="___________________obl181" localSheetId="7">#REF!</definedName>
    <definedName name="___________________obl181">#REF!</definedName>
    <definedName name="___________________obl1816" localSheetId="4">#REF!</definedName>
    <definedName name="___________________obl1816" localSheetId="5">#REF!</definedName>
    <definedName name="___________________obl1816" localSheetId="3">#REF!</definedName>
    <definedName name="___________________obl1816" localSheetId="7">#REF!</definedName>
    <definedName name="___________________obl1816">#REF!</definedName>
    <definedName name="___________________obl1820" localSheetId="4">#REF!</definedName>
    <definedName name="___________________obl1820" localSheetId="5">#REF!</definedName>
    <definedName name="___________________obl1820" localSheetId="3">#REF!</definedName>
    <definedName name="___________________obl1820" localSheetId="7">#REF!</definedName>
    <definedName name="___________________obl1820">#REF!</definedName>
    <definedName name="___________________obl1821" localSheetId="4">#REF!</definedName>
    <definedName name="___________________obl1821" localSheetId="5">#REF!</definedName>
    <definedName name="___________________obl1821" localSheetId="3">#REF!</definedName>
    <definedName name="___________________obl1821" localSheetId="7">#REF!</definedName>
    <definedName name="___________________obl1821">#REF!</definedName>
    <definedName name="___________________obl1822" localSheetId="4">#REF!</definedName>
    <definedName name="___________________obl1822" localSheetId="5">#REF!</definedName>
    <definedName name="___________________obl1822" localSheetId="3">#REF!</definedName>
    <definedName name="___________________obl1822" localSheetId="7">#REF!</definedName>
    <definedName name="___________________obl1822">#REF!</definedName>
    <definedName name="___________________obl1823" localSheetId="4">#REF!</definedName>
    <definedName name="___________________obl1823" localSheetId="5">#REF!</definedName>
    <definedName name="___________________obl1823" localSheetId="3">#REF!</definedName>
    <definedName name="___________________obl1823" localSheetId="7">#REF!</definedName>
    <definedName name="___________________obl1823">#REF!</definedName>
    <definedName name="___________________obl1824" localSheetId="4">#REF!</definedName>
    <definedName name="___________________obl1824" localSheetId="5">#REF!</definedName>
    <definedName name="___________________obl1824" localSheetId="3">#REF!</definedName>
    <definedName name="___________________obl1824" localSheetId="7">#REF!</definedName>
    <definedName name="___________________obl1824">#REF!</definedName>
    <definedName name="___________________obl1825" localSheetId="4">#REF!</definedName>
    <definedName name="___________________obl1825" localSheetId="5">#REF!</definedName>
    <definedName name="___________________obl1825" localSheetId="3">#REF!</definedName>
    <definedName name="___________________obl1825" localSheetId="7">#REF!</definedName>
    <definedName name="___________________obl1825">#REF!</definedName>
    <definedName name="___________________obl1826" localSheetId="4">#REF!</definedName>
    <definedName name="___________________obl1826" localSheetId="5">#REF!</definedName>
    <definedName name="___________________obl1826" localSheetId="3">#REF!</definedName>
    <definedName name="___________________obl1826" localSheetId="7">#REF!</definedName>
    <definedName name="___________________obl1826">#REF!</definedName>
    <definedName name="___________________obl1827" localSheetId="4">#REF!</definedName>
    <definedName name="___________________obl1827" localSheetId="5">#REF!</definedName>
    <definedName name="___________________obl1827" localSheetId="3">#REF!</definedName>
    <definedName name="___________________obl1827" localSheetId="7">#REF!</definedName>
    <definedName name="___________________obl1827">#REF!</definedName>
    <definedName name="___________________obl1828" localSheetId="4">#REF!</definedName>
    <definedName name="___________________obl1828" localSheetId="5">#REF!</definedName>
    <definedName name="___________________obl1828" localSheetId="3">#REF!</definedName>
    <definedName name="___________________obl1828" localSheetId="7">#REF!</definedName>
    <definedName name="___________________obl1828">#REF!</definedName>
    <definedName name="___________________obl1829" localSheetId="4">#REF!</definedName>
    <definedName name="___________________obl1829" localSheetId="5">#REF!</definedName>
    <definedName name="___________________obl1829" localSheetId="3">#REF!</definedName>
    <definedName name="___________________obl1829" localSheetId="7">#REF!</definedName>
    <definedName name="___________________obl1829">#REF!</definedName>
    <definedName name="___________________obl183" localSheetId="4">#REF!</definedName>
    <definedName name="___________________obl183" localSheetId="5">#REF!</definedName>
    <definedName name="___________________obl183" localSheetId="3">#REF!</definedName>
    <definedName name="___________________obl183" localSheetId="7">#REF!</definedName>
    <definedName name="___________________obl183">#REF!</definedName>
    <definedName name="___________________obl1831" localSheetId="4">#REF!</definedName>
    <definedName name="___________________obl1831" localSheetId="5">#REF!</definedName>
    <definedName name="___________________obl1831" localSheetId="3">#REF!</definedName>
    <definedName name="___________________obl1831" localSheetId="7">#REF!</definedName>
    <definedName name="___________________obl1831">#REF!</definedName>
    <definedName name="___________________obl1832" localSheetId="4">#REF!</definedName>
    <definedName name="___________________obl1832" localSheetId="5">#REF!</definedName>
    <definedName name="___________________obl1832" localSheetId="3">#REF!</definedName>
    <definedName name="___________________obl1832" localSheetId="7">#REF!</definedName>
    <definedName name="___________________obl1832">#REF!</definedName>
    <definedName name="___________________obl184" localSheetId="4">#REF!</definedName>
    <definedName name="___________________obl184" localSheetId="5">#REF!</definedName>
    <definedName name="___________________obl184" localSheetId="3">#REF!</definedName>
    <definedName name="___________________obl184" localSheetId="7">#REF!</definedName>
    <definedName name="___________________obl184">#REF!</definedName>
    <definedName name="___________________obl185" localSheetId="4">#REF!</definedName>
    <definedName name="___________________obl185" localSheetId="5">#REF!</definedName>
    <definedName name="___________________obl185" localSheetId="3">#REF!</definedName>
    <definedName name="___________________obl185" localSheetId="7">#REF!</definedName>
    <definedName name="___________________obl185">#REF!</definedName>
    <definedName name="___________________obl186" localSheetId="4">#REF!</definedName>
    <definedName name="___________________obl186" localSheetId="5">#REF!</definedName>
    <definedName name="___________________obl186" localSheetId="3">#REF!</definedName>
    <definedName name="___________________obl186" localSheetId="7">#REF!</definedName>
    <definedName name="___________________obl186">#REF!</definedName>
    <definedName name="___________________obl187" localSheetId="4">#REF!</definedName>
    <definedName name="___________________obl187" localSheetId="5">#REF!</definedName>
    <definedName name="___________________obl187" localSheetId="3">#REF!</definedName>
    <definedName name="___________________obl187" localSheetId="7">#REF!</definedName>
    <definedName name="___________________obl187">#REF!</definedName>
    <definedName name="_________________obl11" localSheetId="4">#REF!</definedName>
    <definedName name="_________________obl11" localSheetId="5">#REF!</definedName>
    <definedName name="_________________obl11" localSheetId="3">#REF!</definedName>
    <definedName name="_________________obl11" localSheetId="7">#REF!</definedName>
    <definedName name="_________________obl11">#REF!</definedName>
    <definedName name="_________________obl12" localSheetId="4">#REF!</definedName>
    <definedName name="_________________obl12" localSheetId="5">#REF!</definedName>
    <definedName name="_________________obl12" localSheetId="3">#REF!</definedName>
    <definedName name="_________________obl12" localSheetId="7">#REF!</definedName>
    <definedName name="_________________obl12">#REF!</definedName>
    <definedName name="_________________obl13" localSheetId="4">#REF!</definedName>
    <definedName name="_________________obl13" localSheetId="5">#REF!</definedName>
    <definedName name="_________________obl13" localSheetId="3">#REF!</definedName>
    <definedName name="_________________obl13" localSheetId="7">#REF!</definedName>
    <definedName name="_________________obl13">#REF!</definedName>
    <definedName name="_________________obl14" localSheetId="4">#REF!</definedName>
    <definedName name="_________________obl14" localSheetId="5">#REF!</definedName>
    <definedName name="_________________obl14" localSheetId="3">#REF!</definedName>
    <definedName name="_________________obl14" localSheetId="7">#REF!</definedName>
    <definedName name="_________________obl14">#REF!</definedName>
    <definedName name="_________________obl15" localSheetId="4">#REF!</definedName>
    <definedName name="_________________obl15" localSheetId="5">#REF!</definedName>
    <definedName name="_________________obl15" localSheetId="3">#REF!</definedName>
    <definedName name="_________________obl15" localSheetId="7">#REF!</definedName>
    <definedName name="_________________obl15">#REF!</definedName>
    <definedName name="_________________obl16" localSheetId="4">#REF!</definedName>
    <definedName name="_________________obl16" localSheetId="5">#REF!</definedName>
    <definedName name="_________________obl16" localSheetId="3">#REF!</definedName>
    <definedName name="_________________obl16" localSheetId="7">#REF!</definedName>
    <definedName name="_________________obl16">#REF!</definedName>
    <definedName name="_________________obl17" localSheetId="4">#REF!</definedName>
    <definedName name="_________________obl17" localSheetId="5">#REF!</definedName>
    <definedName name="_________________obl17" localSheetId="3">#REF!</definedName>
    <definedName name="_________________obl17" localSheetId="7">#REF!</definedName>
    <definedName name="_________________obl17">#REF!</definedName>
    <definedName name="_________________obl1710" localSheetId="4">#REF!</definedName>
    <definedName name="_________________obl1710" localSheetId="5">#REF!</definedName>
    <definedName name="_________________obl1710" localSheetId="3">#REF!</definedName>
    <definedName name="_________________obl1710" localSheetId="7">#REF!</definedName>
    <definedName name="_________________obl1710">#REF!</definedName>
    <definedName name="_________________obl1711" localSheetId="4">#REF!</definedName>
    <definedName name="_________________obl1711" localSheetId="5">#REF!</definedName>
    <definedName name="_________________obl1711" localSheetId="3">#REF!</definedName>
    <definedName name="_________________obl1711" localSheetId="7">#REF!</definedName>
    <definedName name="_________________obl1711">#REF!</definedName>
    <definedName name="_________________obl1712" localSheetId="4">#REF!</definedName>
    <definedName name="_________________obl1712" localSheetId="5">#REF!</definedName>
    <definedName name="_________________obl1712" localSheetId="3">#REF!</definedName>
    <definedName name="_________________obl1712" localSheetId="7">#REF!</definedName>
    <definedName name="_________________obl1712">#REF!</definedName>
    <definedName name="_________________obl1713" localSheetId="4">#REF!</definedName>
    <definedName name="_________________obl1713" localSheetId="5">#REF!</definedName>
    <definedName name="_________________obl1713" localSheetId="3">#REF!</definedName>
    <definedName name="_________________obl1713" localSheetId="7">#REF!</definedName>
    <definedName name="_________________obl1713">#REF!</definedName>
    <definedName name="_________________obl1714" localSheetId="4">#REF!</definedName>
    <definedName name="_________________obl1714" localSheetId="5">#REF!</definedName>
    <definedName name="_________________obl1714" localSheetId="3">#REF!</definedName>
    <definedName name="_________________obl1714" localSheetId="7">#REF!</definedName>
    <definedName name="_________________obl1714">#REF!</definedName>
    <definedName name="_________________obl1715" localSheetId="4">#REF!</definedName>
    <definedName name="_________________obl1715" localSheetId="5">#REF!</definedName>
    <definedName name="_________________obl1715" localSheetId="3">#REF!</definedName>
    <definedName name="_________________obl1715" localSheetId="7">#REF!</definedName>
    <definedName name="_________________obl1715">#REF!</definedName>
    <definedName name="_________________obl1716" localSheetId="4">#REF!</definedName>
    <definedName name="_________________obl1716" localSheetId="5">#REF!</definedName>
    <definedName name="_________________obl1716" localSheetId="3">#REF!</definedName>
    <definedName name="_________________obl1716" localSheetId="7">#REF!</definedName>
    <definedName name="_________________obl1716">#REF!</definedName>
    <definedName name="_________________obl1717" localSheetId="4">#REF!</definedName>
    <definedName name="_________________obl1717" localSheetId="5">#REF!</definedName>
    <definedName name="_________________obl1717" localSheetId="3">#REF!</definedName>
    <definedName name="_________________obl1717" localSheetId="7">#REF!</definedName>
    <definedName name="_________________obl1717">#REF!</definedName>
    <definedName name="_________________obl1718" localSheetId="4">#REF!</definedName>
    <definedName name="_________________obl1718" localSheetId="5">#REF!</definedName>
    <definedName name="_________________obl1718" localSheetId="3">#REF!</definedName>
    <definedName name="_________________obl1718" localSheetId="7">#REF!</definedName>
    <definedName name="_________________obl1718">#REF!</definedName>
    <definedName name="_________________obl1719" localSheetId="4">#REF!</definedName>
    <definedName name="_________________obl1719" localSheetId="5">#REF!</definedName>
    <definedName name="_________________obl1719" localSheetId="3">#REF!</definedName>
    <definedName name="_________________obl1719" localSheetId="7">#REF!</definedName>
    <definedName name="_________________obl1719">#REF!</definedName>
    <definedName name="_________________obl173" localSheetId="4">#REF!</definedName>
    <definedName name="_________________obl173" localSheetId="5">#REF!</definedName>
    <definedName name="_________________obl173" localSheetId="3">#REF!</definedName>
    <definedName name="_________________obl173" localSheetId="7">#REF!</definedName>
    <definedName name="_________________obl173">#REF!</definedName>
    <definedName name="_________________obl174" localSheetId="4">#REF!</definedName>
    <definedName name="_________________obl174" localSheetId="5">#REF!</definedName>
    <definedName name="_________________obl174" localSheetId="3">#REF!</definedName>
    <definedName name="_________________obl174" localSheetId="7">#REF!</definedName>
    <definedName name="_________________obl174">#REF!</definedName>
    <definedName name="_________________obl175" localSheetId="4">#REF!</definedName>
    <definedName name="_________________obl175" localSheetId="5">#REF!</definedName>
    <definedName name="_________________obl175" localSheetId="3">#REF!</definedName>
    <definedName name="_________________obl175" localSheetId="7">#REF!</definedName>
    <definedName name="_________________obl175">#REF!</definedName>
    <definedName name="_________________obl176" localSheetId="4">#REF!</definedName>
    <definedName name="_________________obl176" localSheetId="5">#REF!</definedName>
    <definedName name="_________________obl176" localSheetId="3">#REF!</definedName>
    <definedName name="_________________obl176" localSheetId="7">#REF!</definedName>
    <definedName name="_________________obl176">#REF!</definedName>
    <definedName name="_________________obl177" localSheetId="4">#REF!</definedName>
    <definedName name="_________________obl177" localSheetId="5">#REF!</definedName>
    <definedName name="_________________obl177" localSheetId="3">#REF!</definedName>
    <definedName name="_________________obl177" localSheetId="7">#REF!</definedName>
    <definedName name="_________________obl177">#REF!</definedName>
    <definedName name="_________________obl178" localSheetId="4">#REF!</definedName>
    <definedName name="_________________obl178" localSheetId="5">#REF!</definedName>
    <definedName name="_________________obl178" localSheetId="3">#REF!</definedName>
    <definedName name="_________________obl178" localSheetId="7">#REF!</definedName>
    <definedName name="_________________obl178">#REF!</definedName>
    <definedName name="_________________obl179" localSheetId="4">#REF!</definedName>
    <definedName name="_________________obl179" localSheetId="5">#REF!</definedName>
    <definedName name="_________________obl179" localSheetId="3">#REF!</definedName>
    <definedName name="_________________obl179" localSheetId="7">#REF!</definedName>
    <definedName name="_________________obl179">#REF!</definedName>
    <definedName name="_________________obl18" localSheetId="4">#REF!</definedName>
    <definedName name="_________________obl18" localSheetId="5">#REF!</definedName>
    <definedName name="_________________obl18" localSheetId="3">#REF!</definedName>
    <definedName name="_________________obl18" localSheetId="7">#REF!</definedName>
    <definedName name="_________________obl18">#REF!</definedName>
    <definedName name="_________________obl181" localSheetId="4">#REF!</definedName>
    <definedName name="_________________obl181" localSheetId="5">#REF!</definedName>
    <definedName name="_________________obl181" localSheetId="3">#REF!</definedName>
    <definedName name="_________________obl181" localSheetId="7">#REF!</definedName>
    <definedName name="_________________obl181">#REF!</definedName>
    <definedName name="_________________obl1816" localSheetId="4">#REF!</definedName>
    <definedName name="_________________obl1816" localSheetId="5">#REF!</definedName>
    <definedName name="_________________obl1816" localSheetId="3">#REF!</definedName>
    <definedName name="_________________obl1816" localSheetId="7">#REF!</definedName>
    <definedName name="_________________obl1816">#REF!</definedName>
    <definedName name="_________________obl1820" localSheetId="4">#REF!</definedName>
    <definedName name="_________________obl1820" localSheetId="5">#REF!</definedName>
    <definedName name="_________________obl1820" localSheetId="3">#REF!</definedName>
    <definedName name="_________________obl1820" localSheetId="7">#REF!</definedName>
    <definedName name="_________________obl1820">#REF!</definedName>
    <definedName name="_________________obl1821" localSheetId="4">#REF!</definedName>
    <definedName name="_________________obl1821" localSheetId="5">#REF!</definedName>
    <definedName name="_________________obl1821" localSheetId="3">#REF!</definedName>
    <definedName name="_________________obl1821" localSheetId="7">#REF!</definedName>
    <definedName name="_________________obl1821">#REF!</definedName>
    <definedName name="_________________obl1822" localSheetId="4">#REF!</definedName>
    <definedName name="_________________obl1822" localSheetId="5">#REF!</definedName>
    <definedName name="_________________obl1822" localSheetId="3">#REF!</definedName>
    <definedName name="_________________obl1822" localSheetId="7">#REF!</definedName>
    <definedName name="_________________obl1822">#REF!</definedName>
    <definedName name="_________________obl1823" localSheetId="4">#REF!</definedName>
    <definedName name="_________________obl1823" localSheetId="5">#REF!</definedName>
    <definedName name="_________________obl1823" localSheetId="3">#REF!</definedName>
    <definedName name="_________________obl1823" localSheetId="7">#REF!</definedName>
    <definedName name="_________________obl1823">#REF!</definedName>
    <definedName name="_________________obl1824" localSheetId="4">#REF!</definedName>
    <definedName name="_________________obl1824" localSheetId="5">#REF!</definedName>
    <definedName name="_________________obl1824" localSheetId="3">#REF!</definedName>
    <definedName name="_________________obl1824" localSheetId="7">#REF!</definedName>
    <definedName name="_________________obl1824">#REF!</definedName>
    <definedName name="_________________obl1825" localSheetId="4">#REF!</definedName>
    <definedName name="_________________obl1825" localSheetId="5">#REF!</definedName>
    <definedName name="_________________obl1825" localSheetId="3">#REF!</definedName>
    <definedName name="_________________obl1825" localSheetId="7">#REF!</definedName>
    <definedName name="_________________obl1825">#REF!</definedName>
    <definedName name="_________________obl1826" localSheetId="4">#REF!</definedName>
    <definedName name="_________________obl1826" localSheetId="5">#REF!</definedName>
    <definedName name="_________________obl1826" localSheetId="3">#REF!</definedName>
    <definedName name="_________________obl1826" localSheetId="7">#REF!</definedName>
    <definedName name="_________________obl1826">#REF!</definedName>
    <definedName name="_________________obl1827" localSheetId="4">#REF!</definedName>
    <definedName name="_________________obl1827" localSheetId="5">#REF!</definedName>
    <definedName name="_________________obl1827" localSheetId="3">#REF!</definedName>
    <definedName name="_________________obl1827" localSheetId="7">#REF!</definedName>
    <definedName name="_________________obl1827">#REF!</definedName>
    <definedName name="_________________obl1828" localSheetId="4">#REF!</definedName>
    <definedName name="_________________obl1828" localSheetId="5">#REF!</definedName>
    <definedName name="_________________obl1828" localSheetId="3">#REF!</definedName>
    <definedName name="_________________obl1828" localSheetId="7">#REF!</definedName>
    <definedName name="_________________obl1828">#REF!</definedName>
    <definedName name="_________________obl1829" localSheetId="4">#REF!</definedName>
    <definedName name="_________________obl1829" localSheetId="5">#REF!</definedName>
    <definedName name="_________________obl1829" localSheetId="3">#REF!</definedName>
    <definedName name="_________________obl1829" localSheetId="7">#REF!</definedName>
    <definedName name="_________________obl1829">#REF!</definedName>
    <definedName name="_________________obl183" localSheetId="4">#REF!</definedName>
    <definedName name="_________________obl183" localSheetId="5">#REF!</definedName>
    <definedName name="_________________obl183" localSheetId="3">#REF!</definedName>
    <definedName name="_________________obl183" localSheetId="7">#REF!</definedName>
    <definedName name="_________________obl183">#REF!</definedName>
    <definedName name="_________________obl1831" localSheetId="4">#REF!</definedName>
    <definedName name="_________________obl1831" localSheetId="5">#REF!</definedName>
    <definedName name="_________________obl1831" localSheetId="3">#REF!</definedName>
    <definedName name="_________________obl1831" localSheetId="7">#REF!</definedName>
    <definedName name="_________________obl1831">#REF!</definedName>
    <definedName name="_________________obl1832" localSheetId="4">#REF!</definedName>
    <definedName name="_________________obl1832" localSheetId="5">#REF!</definedName>
    <definedName name="_________________obl1832" localSheetId="3">#REF!</definedName>
    <definedName name="_________________obl1832" localSheetId="7">#REF!</definedName>
    <definedName name="_________________obl1832">#REF!</definedName>
    <definedName name="_________________obl184" localSheetId="4">#REF!</definedName>
    <definedName name="_________________obl184" localSheetId="5">#REF!</definedName>
    <definedName name="_________________obl184" localSheetId="3">#REF!</definedName>
    <definedName name="_________________obl184" localSheetId="7">#REF!</definedName>
    <definedName name="_________________obl184">#REF!</definedName>
    <definedName name="_________________obl185" localSheetId="4">#REF!</definedName>
    <definedName name="_________________obl185" localSheetId="5">#REF!</definedName>
    <definedName name="_________________obl185" localSheetId="3">#REF!</definedName>
    <definedName name="_________________obl185" localSheetId="7">#REF!</definedName>
    <definedName name="_________________obl185">#REF!</definedName>
    <definedName name="_________________obl186" localSheetId="4">#REF!</definedName>
    <definedName name="_________________obl186" localSheetId="5">#REF!</definedName>
    <definedName name="_________________obl186" localSheetId="3">#REF!</definedName>
    <definedName name="_________________obl186" localSheetId="7">#REF!</definedName>
    <definedName name="_________________obl186">#REF!</definedName>
    <definedName name="_________________obl187" localSheetId="4">#REF!</definedName>
    <definedName name="_________________obl187" localSheetId="5">#REF!</definedName>
    <definedName name="_________________obl187" localSheetId="3">#REF!</definedName>
    <definedName name="_________________obl187" localSheetId="7">#REF!</definedName>
    <definedName name="_________________obl187">#REF!</definedName>
    <definedName name="________________obl11">#REF!</definedName>
    <definedName name="________________obl12">#REF!</definedName>
    <definedName name="________________obl13">#REF!</definedName>
    <definedName name="________________obl14">#REF!</definedName>
    <definedName name="________________obl15">#REF!</definedName>
    <definedName name="________________obl16">#REF!</definedName>
    <definedName name="________________obl17">#REF!</definedName>
    <definedName name="________________obl1710">#REF!</definedName>
    <definedName name="________________obl1711">#REF!</definedName>
    <definedName name="________________obl1712">#REF!</definedName>
    <definedName name="________________obl1713">#REF!</definedName>
    <definedName name="________________obl1714">#REF!</definedName>
    <definedName name="________________obl1715">#REF!</definedName>
    <definedName name="________________obl1716">#REF!</definedName>
    <definedName name="________________obl1717">#REF!</definedName>
    <definedName name="________________obl1718">#REF!</definedName>
    <definedName name="________________obl1719">#REF!</definedName>
    <definedName name="________________obl173">#REF!</definedName>
    <definedName name="________________obl174">#REF!</definedName>
    <definedName name="________________obl175">#REF!</definedName>
    <definedName name="________________obl176">#REF!</definedName>
    <definedName name="________________obl177">#REF!</definedName>
    <definedName name="________________obl178">#REF!</definedName>
    <definedName name="________________obl179">#REF!</definedName>
    <definedName name="________________obl18">#REF!</definedName>
    <definedName name="________________obl181">#REF!</definedName>
    <definedName name="________________obl1816">#REF!</definedName>
    <definedName name="________________obl1820">#REF!</definedName>
    <definedName name="________________obl1821">#REF!</definedName>
    <definedName name="________________obl1822">#REF!</definedName>
    <definedName name="________________obl1823">#REF!</definedName>
    <definedName name="________________obl1824">#REF!</definedName>
    <definedName name="________________obl1825">#REF!</definedName>
    <definedName name="________________obl1826">#REF!</definedName>
    <definedName name="________________obl1827">#REF!</definedName>
    <definedName name="________________obl1828">#REF!</definedName>
    <definedName name="________________obl1829">#REF!</definedName>
    <definedName name="________________obl183">#REF!</definedName>
    <definedName name="________________obl1831">#REF!</definedName>
    <definedName name="________________obl1832">#REF!</definedName>
    <definedName name="________________obl184">#REF!</definedName>
    <definedName name="________________obl185">#REF!</definedName>
    <definedName name="________________obl186">#REF!</definedName>
    <definedName name="________________obl187">#REF!</definedName>
    <definedName name="_______________obl11" localSheetId="4">#REF!</definedName>
    <definedName name="_______________obl11" localSheetId="3">#REF!</definedName>
    <definedName name="_______________obl12" localSheetId="4">#REF!</definedName>
    <definedName name="_______________obl12" localSheetId="3">#REF!</definedName>
    <definedName name="_______________obl13" localSheetId="4">#REF!</definedName>
    <definedName name="_______________obl13" localSheetId="3">#REF!</definedName>
    <definedName name="_______________obl14" localSheetId="4">#REF!</definedName>
    <definedName name="_______________obl14" localSheetId="3">#REF!</definedName>
    <definedName name="_______________obl15" localSheetId="4">#REF!</definedName>
    <definedName name="_______________obl15" localSheetId="3">#REF!</definedName>
    <definedName name="_______________obl16" localSheetId="4">#REF!</definedName>
    <definedName name="_______________obl16" localSheetId="3">#REF!</definedName>
    <definedName name="_______________obl17" localSheetId="4">#REF!</definedName>
    <definedName name="_______________obl17" localSheetId="3">#REF!</definedName>
    <definedName name="_______________obl1710" localSheetId="4">#REF!</definedName>
    <definedName name="_______________obl1710" localSheetId="3">#REF!</definedName>
    <definedName name="_______________obl1711" localSheetId="4">#REF!</definedName>
    <definedName name="_______________obl1711" localSheetId="3">#REF!</definedName>
    <definedName name="_______________obl1712" localSheetId="4">#REF!</definedName>
    <definedName name="_______________obl1712" localSheetId="3">#REF!</definedName>
    <definedName name="_______________obl1713" localSheetId="4">#REF!</definedName>
    <definedName name="_______________obl1713" localSheetId="3">#REF!</definedName>
    <definedName name="_______________obl1714" localSheetId="4">#REF!</definedName>
    <definedName name="_______________obl1714" localSheetId="3">#REF!</definedName>
    <definedName name="_______________obl1715" localSheetId="4">#REF!</definedName>
    <definedName name="_______________obl1715" localSheetId="3">#REF!</definedName>
    <definedName name="_______________obl1716" localSheetId="4">#REF!</definedName>
    <definedName name="_______________obl1716" localSheetId="3">#REF!</definedName>
    <definedName name="_______________obl1717" localSheetId="4">#REF!</definedName>
    <definedName name="_______________obl1717" localSheetId="3">#REF!</definedName>
    <definedName name="_______________obl1718" localSheetId="4">#REF!</definedName>
    <definedName name="_______________obl1718" localSheetId="3">#REF!</definedName>
    <definedName name="_______________obl1719" localSheetId="4">#REF!</definedName>
    <definedName name="_______________obl1719" localSheetId="3">#REF!</definedName>
    <definedName name="_______________obl173" localSheetId="4">#REF!</definedName>
    <definedName name="_______________obl173" localSheetId="3">#REF!</definedName>
    <definedName name="_______________obl174" localSheetId="4">#REF!</definedName>
    <definedName name="_______________obl174" localSheetId="3">#REF!</definedName>
    <definedName name="_______________obl175" localSheetId="4">#REF!</definedName>
    <definedName name="_______________obl175" localSheetId="3">#REF!</definedName>
    <definedName name="_______________obl176" localSheetId="4">#REF!</definedName>
    <definedName name="_______________obl176" localSheetId="3">#REF!</definedName>
    <definedName name="_______________obl177" localSheetId="4">#REF!</definedName>
    <definedName name="_______________obl177" localSheetId="3">#REF!</definedName>
    <definedName name="_______________obl178" localSheetId="4">#REF!</definedName>
    <definedName name="_______________obl178" localSheetId="3">#REF!</definedName>
    <definedName name="_______________obl179" localSheetId="4">#REF!</definedName>
    <definedName name="_______________obl179" localSheetId="3">#REF!</definedName>
    <definedName name="_______________obl18" localSheetId="4">#REF!</definedName>
    <definedName name="_______________obl18" localSheetId="3">#REF!</definedName>
    <definedName name="_______________obl181" localSheetId="4">#REF!</definedName>
    <definedName name="_______________obl181" localSheetId="3">#REF!</definedName>
    <definedName name="_______________obl1816" localSheetId="4">#REF!</definedName>
    <definedName name="_______________obl1816" localSheetId="3">#REF!</definedName>
    <definedName name="_______________obl1820" localSheetId="4">#REF!</definedName>
    <definedName name="_______________obl1820" localSheetId="3">#REF!</definedName>
    <definedName name="_______________obl1821" localSheetId="4">#REF!</definedName>
    <definedName name="_______________obl1821" localSheetId="3">#REF!</definedName>
    <definedName name="_______________obl1822" localSheetId="4">#REF!</definedName>
    <definedName name="_______________obl1822" localSheetId="3">#REF!</definedName>
    <definedName name="_______________obl1823" localSheetId="4">#REF!</definedName>
    <definedName name="_______________obl1823" localSheetId="3">#REF!</definedName>
    <definedName name="_______________obl1824" localSheetId="4">#REF!</definedName>
    <definedName name="_______________obl1824" localSheetId="3">#REF!</definedName>
    <definedName name="_______________obl1825" localSheetId="4">#REF!</definedName>
    <definedName name="_______________obl1825" localSheetId="3">#REF!</definedName>
    <definedName name="_______________obl1826" localSheetId="4">#REF!</definedName>
    <definedName name="_______________obl1826" localSheetId="3">#REF!</definedName>
    <definedName name="_______________obl1827" localSheetId="4">#REF!</definedName>
    <definedName name="_______________obl1827" localSheetId="3">#REF!</definedName>
    <definedName name="_______________obl1828" localSheetId="4">#REF!</definedName>
    <definedName name="_______________obl1828" localSheetId="3">#REF!</definedName>
    <definedName name="_______________obl1829" localSheetId="4">#REF!</definedName>
    <definedName name="_______________obl1829" localSheetId="3">#REF!</definedName>
    <definedName name="_______________obl183" localSheetId="4">#REF!</definedName>
    <definedName name="_______________obl183" localSheetId="3">#REF!</definedName>
    <definedName name="_______________obl1831" localSheetId="4">#REF!</definedName>
    <definedName name="_______________obl1831" localSheetId="3">#REF!</definedName>
    <definedName name="_______________obl1832" localSheetId="4">#REF!</definedName>
    <definedName name="_______________obl1832" localSheetId="3">#REF!</definedName>
    <definedName name="_______________obl184" localSheetId="4">#REF!</definedName>
    <definedName name="_______________obl184" localSheetId="3">#REF!</definedName>
    <definedName name="_______________obl185" localSheetId="4">#REF!</definedName>
    <definedName name="_______________obl185" localSheetId="3">#REF!</definedName>
    <definedName name="_______________obl186" localSheetId="4">#REF!</definedName>
    <definedName name="_______________obl186" localSheetId="3">#REF!</definedName>
    <definedName name="_______________obl187" localSheetId="4">#REF!</definedName>
    <definedName name="_______________obl187" localSheetId="3">#REF!</definedName>
    <definedName name="____________obl11">#REF!</definedName>
    <definedName name="____________obl12">#REF!</definedName>
    <definedName name="____________obl13">#REF!</definedName>
    <definedName name="____________obl14">#REF!</definedName>
    <definedName name="____________obl15">#REF!</definedName>
    <definedName name="____________obl16">#REF!</definedName>
    <definedName name="____________obl17">#REF!</definedName>
    <definedName name="____________obl1710">#REF!</definedName>
    <definedName name="____________obl1711">#REF!</definedName>
    <definedName name="____________obl1712">#REF!</definedName>
    <definedName name="____________obl1713">#REF!</definedName>
    <definedName name="____________obl1714">#REF!</definedName>
    <definedName name="____________obl1715">#REF!</definedName>
    <definedName name="____________obl1716">#REF!</definedName>
    <definedName name="____________obl1717">#REF!</definedName>
    <definedName name="____________obl1718">#REF!</definedName>
    <definedName name="____________obl1719">#REF!</definedName>
    <definedName name="____________obl173">#REF!</definedName>
    <definedName name="____________obl174">#REF!</definedName>
    <definedName name="____________obl175">#REF!</definedName>
    <definedName name="____________obl176">#REF!</definedName>
    <definedName name="____________obl177">#REF!</definedName>
    <definedName name="____________obl178">#REF!</definedName>
    <definedName name="____________obl179">#REF!</definedName>
    <definedName name="____________obl18">#REF!</definedName>
    <definedName name="____________obl181">#REF!</definedName>
    <definedName name="____________obl1816">#REF!</definedName>
    <definedName name="____________obl1820">#REF!</definedName>
    <definedName name="____________obl1821">#REF!</definedName>
    <definedName name="____________obl1822">#REF!</definedName>
    <definedName name="____________obl1823">#REF!</definedName>
    <definedName name="____________obl1824">#REF!</definedName>
    <definedName name="____________obl1825">#REF!</definedName>
    <definedName name="____________obl1826">#REF!</definedName>
    <definedName name="____________obl1827">#REF!</definedName>
    <definedName name="____________obl1828">#REF!</definedName>
    <definedName name="____________obl1829">#REF!</definedName>
    <definedName name="____________obl183">#REF!</definedName>
    <definedName name="____________obl1831">#REF!</definedName>
    <definedName name="____________obl1832">#REF!</definedName>
    <definedName name="____________obl184">#REF!</definedName>
    <definedName name="____________obl185">#REF!</definedName>
    <definedName name="____________obl186">#REF!</definedName>
    <definedName name="____________obl187">#REF!</definedName>
    <definedName name="__________obl11" localSheetId="2">#REF!</definedName>
    <definedName name="__________obl11" localSheetId="6">#REF!</definedName>
    <definedName name="__________obl11" localSheetId="8">#REF!</definedName>
    <definedName name="__________obl12" localSheetId="2">#REF!</definedName>
    <definedName name="__________obl12" localSheetId="6">#REF!</definedName>
    <definedName name="__________obl12" localSheetId="8">#REF!</definedName>
    <definedName name="__________obl13" localSheetId="2">#REF!</definedName>
    <definedName name="__________obl13" localSheetId="6">#REF!</definedName>
    <definedName name="__________obl13" localSheetId="8">#REF!</definedName>
    <definedName name="__________obl14" localSheetId="2">#REF!</definedName>
    <definedName name="__________obl14" localSheetId="6">#REF!</definedName>
    <definedName name="__________obl14" localSheetId="8">#REF!</definedName>
    <definedName name="__________obl15" localSheetId="2">#REF!</definedName>
    <definedName name="__________obl15" localSheetId="6">#REF!</definedName>
    <definedName name="__________obl15" localSheetId="8">#REF!</definedName>
    <definedName name="__________obl16" localSheetId="2">#REF!</definedName>
    <definedName name="__________obl16" localSheetId="6">#REF!</definedName>
    <definedName name="__________obl16" localSheetId="8">#REF!</definedName>
    <definedName name="__________obl17" localSheetId="2">#REF!</definedName>
    <definedName name="__________obl17" localSheetId="6">#REF!</definedName>
    <definedName name="__________obl17" localSheetId="8">#REF!</definedName>
    <definedName name="__________obl1710" localSheetId="2">#REF!</definedName>
    <definedName name="__________obl1710" localSheetId="6">#REF!</definedName>
    <definedName name="__________obl1710" localSheetId="8">#REF!</definedName>
    <definedName name="__________obl1711" localSheetId="2">#REF!</definedName>
    <definedName name="__________obl1711" localSheetId="6">#REF!</definedName>
    <definedName name="__________obl1711" localSheetId="8">#REF!</definedName>
    <definedName name="__________obl1712" localSheetId="2">#REF!</definedName>
    <definedName name="__________obl1712" localSheetId="6">#REF!</definedName>
    <definedName name="__________obl1712" localSheetId="8">#REF!</definedName>
    <definedName name="__________obl1713" localSheetId="2">#REF!</definedName>
    <definedName name="__________obl1713" localSheetId="6">#REF!</definedName>
    <definedName name="__________obl1713" localSheetId="8">#REF!</definedName>
    <definedName name="__________obl1714" localSheetId="2">#REF!</definedName>
    <definedName name="__________obl1714" localSheetId="6">#REF!</definedName>
    <definedName name="__________obl1714" localSheetId="8">#REF!</definedName>
    <definedName name="__________obl1715" localSheetId="2">#REF!</definedName>
    <definedName name="__________obl1715" localSheetId="6">#REF!</definedName>
    <definedName name="__________obl1715" localSheetId="8">#REF!</definedName>
    <definedName name="__________obl1716" localSheetId="2">#REF!</definedName>
    <definedName name="__________obl1716" localSheetId="6">#REF!</definedName>
    <definedName name="__________obl1716" localSheetId="8">#REF!</definedName>
    <definedName name="__________obl1717" localSheetId="2">#REF!</definedName>
    <definedName name="__________obl1717" localSheetId="6">#REF!</definedName>
    <definedName name="__________obl1717" localSheetId="8">#REF!</definedName>
    <definedName name="__________obl1718" localSheetId="2">#REF!</definedName>
    <definedName name="__________obl1718" localSheetId="6">#REF!</definedName>
    <definedName name="__________obl1718" localSheetId="8">#REF!</definedName>
    <definedName name="__________obl1719" localSheetId="2">#REF!</definedName>
    <definedName name="__________obl1719" localSheetId="6">#REF!</definedName>
    <definedName name="__________obl1719" localSheetId="8">#REF!</definedName>
    <definedName name="__________obl173" localSheetId="2">#REF!</definedName>
    <definedName name="__________obl173" localSheetId="6">#REF!</definedName>
    <definedName name="__________obl173" localSheetId="8">#REF!</definedName>
    <definedName name="__________obl174" localSheetId="2">#REF!</definedName>
    <definedName name="__________obl174" localSheetId="6">#REF!</definedName>
    <definedName name="__________obl174" localSheetId="8">#REF!</definedName>
    <definedName name="__________obl175" localSheetId="2">#REF!</definedName>
    <definedName name="__________obl175" localSheetId="6">#REF!</definedName>
    <definedName name="__________obl175" localSheetId="8">#REF!</definedName>
    <definedName name="__________obl176" localSheetId="2">#REF!</definedName>
    <definedName name="__________obl176" localSheetId="6">#REF!</definedName>
    <definedName name="__________obl176" localSheetId="8">#REF!</definedName>
    <definedName name="__________obl177" localSheetId="2">#REF!</definedName>
    <definedName name="__________obl177" localSheetId="6">#REF!</definedName>
    <definedName name="__________obl177" localSheetId="8">#REF!</definedName>
    <definedName name="__________obl178" localSheetId="2">#REF!</definedName>
    <definedName name="__________obl178" localSheetId="6">#REF!</definedName>
    <definedName name="__________obl178" localSheetId="8">#REF!</definedName>
    <definedName name="__________obl179" localSheetId="2">#REF!</definedName>
    <definedName name="__________obl179" localSheetId="6">#REF!</definedName>
    <definedName name="__________obl179" localSheetId="8">#REF!</definedName>
    <definedName name="__________obl18" localSheetId="2">#REF!</definedName>
    <definedName name="__________obl18" localSheetId="6">#REF!</definedName>
    <definedName name="__________obl18" localSheetId="8">#REF!</definedName>
    <definedName name="__________obl181" localSheetId="2">#REF!</definedName>
    <definedName name="__________obl181" localSheetId="6">#REF!</definedName>
    <definedName name="__________obl181" localSheetId="8">#REF!</definedName>
    <definedName name="__________obl1816" localSheetId="2">#REF!</definedName>
    <definedName name="__________obl1816" localSheetId="6">#REF!</definedName>
    <definedName name="__________obl1816" localSheetId="8">#REF!</definedName>
    <definedName name="__________obl1820" localSheetId="2">#REF!</definedName>
    <definedName name="__________obl1820" localSheetId="6">#REF!</definedName>
    <definedName name="__________obl1820" localSheetId="8">#REF!</definedName>
    <definedName name="__________obl1821" localSheetId="2">#REF!</definedName>
    <definedName name="__________obl1821" localSheetId="6">#REF!</definedName>
    <definedName name="__________obl1821" localSheetId="8">#REF!</definedName>
    <definedName name="__________obl1822" localSheetId="2">#REF!</definedName>
    <definedName name="__________obl1822" localSheetId="6">#REF!</definedName>
    <definedName name="__________obl1822" localSheetId="8">#REF!</definedName>
    <definedName name="__________obl1823" localSheetId="2">#REF!</definedName>
    <definedName name="__________obl1823" localSheetId="6">#REF!</definedName>
    <definedName name="__________obl1823" localSheetId="8">#REF!</definedName>
    <definedName name="__________obl1824" localSheetId="2">#REF!</definedName>
    <definedName name="__________obl1824" localSheetId="6">#REF!</definedName>
    <definedName name="__________obl1824" localSheetId="8">#REF!</definedName>
    <definedName name="__________obl1825" localSheetId="2">#REF!</definedName>
    <definedName name="__________obl1825" localSheetId="6">#REF!</definedName>
    <definedName name="__________obl1825" localSheetId="8">#REF!</definedName>
    <definedName name="__________obl1826" localSheetId="2">#REF!</definedName>
    <definedName name="__________obl1826" localSheetId="6">#REF!</definedName>
    <definedName name="__________obl1826" localSheetId="8">#REF!</definedName>
    <definedName name="__________obl1827" localSheetId="2">#REF!</definedName>
    <definedName name="__________obl1827" localSheetId="6">#REF!</definedName>
    <definedName name="__________obl1827" localSheetId="8">#REF!</definedName>
    <definedName name="__________obl1828" localSheetId="2">#REF!</definedName>
    <definedName name="__________obl1828" localSheetId="6">#REF!</definedName>
    <definedName name="__________obl1828" localSheetId="8">#REF!</definedName>
    <definedName name="__________obl1829" localSheetId="2">#REF!</definedName>
    <definedName name="__________obl1829" localSheetId="6">#REF!</definedName>
    <definedName name="__________obl1829" localSheetId="8">#REF!</definedName>
    <definedName name="__________obl183" localSheetId="2">#REF!</definedName>
    <definedName name="__________obl183" localSheetId="6">#REF!</definedName>
    <definedName name="__________obl183" localSheetId="8">#REF!</definedName>
    <definedName name="__________obl1831" localSheetId="2">#REF!</definedName>
    <definedName name="__________obl1831" localSheetId="6">#REF!</definedName>
    <definedName name="__________obl1831" localSheetId="8">#REF!</definedName>
    <definedName name="__________obl1832" localSheetId="2">#REF!</definedName>
    <definedName name="__________obl1832" localSheetId="6">#REF!</definedName>
    <definedName name="__________obl1832" localSheetId="8">#REF!</definedName>
    <definedName name="__________obl184" localSheetId="2">#REF!</definedName>
    <definedName name="__________obl184" localSheetId="6">#REF!</definedName>
    <definedName name="__________obl184" localSheetId="8">#REF!</definedName>
    <definedName name="__________obl185" localSheetId="2">#REF!</definedName>
    <definedName name="__________obl185" localSheetId="6">#REF!</definedName>
    <definedName name="__________obl185" localSheetId="8">#REF!</definedName>
    <definedName name="__________obl186" localSheetId="2">#REF!</definedName>
    <definedName name="__________obl186" localSheetId="6">#REF!</definedName>
    <definedName name="__________obl186" localSheetId="8">#REF!</definedName>
    <definedName name="__________obl187" localSheetId="2">#REF!</definedName>
    <definedName name="__________obl187" localSheetId="6">#REF!</definedName>
    <definedName name="__________obl187" localSheetId="8">#REF!</definedName>
    <definedName name="_________obl11" localSheetId="4">#REF!</definedName>
    <definedName name="_________obl11" localSheetId="5">#REF!</definedName>
    <definedName name="_________obl11" localSheetId="3">#REF!</definedName>
    <definedName name="_________obl11" localSheetId="7">#REF!</definedName>
    <definedName name="_________obl11">#REF!</definedName>
    <definedName name="_________obl12" localSheetId="4">#REF!</definedName>
    <definedName name="_________obl12" localSheetId="5">#REF!</definedName>
    <definedName name="_________obl12" localSheetId="3">#REF!</definedName>
    <definedName name="_________obl12" localSheetId="7">#REF!</definedName>
    <definedName name="_________obl12">#REF!</definedName>
    <definedName name="_________obl13" localSheetId="4">#REF!</definedName>
    <definedName name="_________obl13" localSheetId="5">#REF!</definedName>
    <definedName name="_________obl13" localSheetId="3">#REF!</definedName>
    <definedName name="_________obl13" localSheetId="7">#REF!</definedName>
    <definedName name="_________obl13">#REF!</definedName>
    <definedName name="_________obl14" localSheetId="4">#REF!</definedName>
    <definedName name="_________obl14" localSheetId="5">#REF!</definedName>
    <definedName name="_________obl14" localSheetId="3">#REF!</definedName>
    <definedName name="_________obl14" localSheetId="7">#REF!</definedName>
    <definedName name="_________obl14">#REF!</definedName>
    <definedName name="_________obl15" localSheetId="4">#REF!</definedName>
    <definedName name="_________obl15" localSheetId="5">#REF!</definedName>
    <definedName name="_________obl15" localSheetId="3">#REF!</definedName>
    <definedName name="_________obl15" localSheetId="7">#REF!</definedName>
    <definedName name="_________obl15">#REF!</definedName>
    <definedName name="_________obl16" localSheetId="4">#REF!</definedName>
    <definedName name="_________obl16" localSheetId="5">#REF!</definedName>
    <definedName name="_________obl16" localSheetId="3">#REF!</definedName>
    <definedName name="_________obl16" localSheetId="7">#REF!</definedName>
    <definedName name="_________obl16">#REF!</definedName>
    <definedName name="_________obl17" localSheetId="4">#REF!</definedName>
    <definedName name="_________obl17" localSheetId="5">#REF!</definedName>
    <definedName name="_________obl17" localSheetId="3">#REF!</definedName>
    <definedName name="_________obl17" localSheetId="7">#REF!</definedName>
    <definedName name="_________obl17">#REF!</definedName>
    <definedName name="_________obl1710" localSheetId="4">#REF!</definedName>
    <definedName name="_________obl1710" localSheetId="5">#REF!</definedName>
    <definedName name="_________obl1710" localSheetId="3">#REF!</definedName>
    <definedName name="_________obl1710" localSheetId="7">#REF!</definedName>
    <definedName name="_________obl1710">#REF!</definedName>
    <definedName name="_________obl1711" localSheetId="4">#REF!</definedName>
    <definedName name="_________obl1711" localSheetId="5">#REF!</definedName>
    <definedName name="_________obl1711" localSheetId="3">#REF!</definedName>
    <definedName name="_________obl1711" localSheetId="7">#REF!</definedName>
    <definedName name="_________obl1711">#REF!</definedName>
    <definedName name="_________obl1712" localSheetId="4">#REF!</definedName>
    <definedName name="_________obl1712" localSheetId="5">#REF!</definedName>
    <definedName name="_________obl1712" localSheetId="3">#REF!</definedName>
    <definedName name="_________obl1712" localSheetId="7">#REF!</definedName>
    <definedName name="_________obl1712">#REF!</definedName>
    <definedName name="_________obl1713" localSheetId="4">#REF!</definedName>
    <definedName name="_________obl1713" localSheetId="5">#REF!</definedName>
    <definedName name="_________obl1713" localSheetId="3">#REF!</definedName>
    <definedName name="_________obl1713" localSheetId="7">#REF!</definedName>
    <definedName name="_________obl1713">#REF!</definedName>
    <definedName name="_________obl1714" localSheetId="4">#REF!</definedName>
    <definedName name="_________obl1714" localSheetId="5">#REF!</definedName>
    <definedName name="_________obl1714" localSheetId="3">#REF!</definedName>
    <definedName name="_________obl1714" localSheetId="7">#REF!</definedName>
    <definedName name="_________obl1714">#REF!</definedName>
    <definedName name="_________obl1715" localSheetId="4">#REF!</definedName>
    <definedName name="_________obl1715" localSheetId="5">#REF!</definedName>
    <definedName name="_________obl1715" localSheetId="3">#REF!</definedName>
    <definedName name="_________obl1715" localSheetId="7">#REF!</definedName>
    <definedName name="_________obl1715">#REF!</definedName>
    <definedName name="_________obl1716" localSheetId="4">#REF!</definedName>
    <definedName name="_________obl1716" localSheetId="5">#REF!</definedName>
    <definedName name="_________obl1716" localSheetId="3">#REF!</definedName>
    <definedName name="_________obl1716" localSheetId="7">#REF!</definedName>
    <definedName name="_________obl1716">#REF!</definedName>
    <definedName name="_________obl1717" localSheetId="4">#REF!</definedName>
    <definedName name="_________obl1717" localSheetId="5">#REF!</definedName>
    <definedName name="_________obl1717" localSheetId="3">#REF!</definedName>
    <definedName name="_________obl1717" localSheetId="7">#REF!</definedName>
    <definedName name="_________obl1717">#REF!</definedName>
    <definedName name="_________obl1718" localSheetId="4">#REF!</definedName>
    <definedName name="_________obl1718" localSheetId="5">#REF!</definedName>
    <definedName name="_________obl1718" localSheetId="3">#REF!</definedName>
    <definedName name="_________obl1718" localSheetId="7">#REF!</definedName>
    <definedName name="_________obl1718">#REF!</definedName>
    <definedName name="_________obl1719" localSheetId="4">#REF!</definedName>
    <definedName name="_________obl1719" localSheetId="5">#REF!</definedName>
    <definedName name="_________obl1719" localSheetId="3">#REF!</definedName>
    <definedName name="_________obl1719" localSheetId="7">#REF!</definedName>
    <definedName name="_________obl1719">#REF!</definedName>
    <definedName name="_________obl173" localSheetId="4">#REF!</definedName>
    <definedName name="_________obl173" localSheetId="5">#REF!</definedName>
    <definedName name="_________obl173" localSheetId="3">#REF!</definedName>
    <definedName name="_________obl173" localSheetId="7">#REF!</definedName>
    <definedName name="_________obl173">#REF!</definedName>
    <definedName name="_________obl174" localSheetId="4">#REF!</definedName>
    <definedName name="_________obl174" localSheetId="5">#REF!</definedName>
    <definedName name="_________obl174" localSheetId="3">#REF!</definedName>
    <definedName name="_________obl174" localSheetId="7">#REF!</definedName>
    <definedName name="_________obl174">#REF!</definedName>
    <definedName name="_________obl175" localSheetId="4">#REF!</definedName>
    <definedName name="_________obl175" localSheetId="5">#REF!</definedName>
    <definedName name="_________obl175" localSheetId="3">#REF!</definedName>
    <definedName name="_________obl175" localSheetId="7">#REF!</definedName>
    <definedName name="_________obl175">#REF!</definedName>
    <definedName name="_________obl176" localSheetId="4">#REF!</definedName>
    <definedName name="_________obl176" localSheetId="5">#REF!</definedName>
    <definedName name="_________obl176" localSheetId="3">#REF!</definedName>
    <definedName name="_________obl176" localSheetId="7">#REF!</definedName>
    <definedName name="_________obl176">#REF!</definedName>
    <definedName name="_________obl177" localSheetId="4">#REF!</definedName>
    <definedName name="_________obl177" localSheetId="5">#REF!</definedName>
    <definedName name="_________obl177" localSheetId="3">#REF!</definedName>
    <definedName name="_________obl177" localSheetId="7">#REF!</definedName>
    <definedName name="_________obl177">#REF!</definedName>
    <definedName name="_________obl178" localSheetId="4">#REF!</definedName>
    <definedName name="_________obl178" localSheetId="5">#REF!</definedName>
    <definedName name="_________obl178" localSheetId="3">#REF!</definedName>
    <definedName name="_________obl178" localSheetId="7">#REF!</definedName>
    <definedName name="_________obl178">#REF!</definedName>
    <definedName name="_________obl179" localSheetId="4">#REF!</definedName>
    <definedName name="_________obl179" localSheetId="5">#REF!</definedName>
    <definedName name="_________obl179" localSheetId="3">#REF!</definedName>
    <definedName name="_________obl179" localSheetId="7">#REF!</definedName>
    <definedName name="_________obl179">#REF!</definedName>
    <definedName name="_________obl18" localSheetId="4">#REF!</definedName>
    <definedName name="_________obl18" localSheetId="5">#REF!</definedName>
    <definedName name="_________obl18" localSheetId="3">#REF!</definedName>
    <definedName name="_________obl18" localSheetId="7">#REF!</definedName>
    <definedName name="_________obl18">#REF!</definedName>
    <definedName name="_________obl181" localSheetId="4">#REF!</definedName>
    <definedName name="_________obl181" localSheetId="5">#REF!</definedName>
    <definedName name="_________obl181" localSheetId="3">#REF!</definedName>
    <definedName name="_________obl181" localSheetId="7">#REF!</definedName>
    <definedName name="_________obl181">#REF!</definedName>
    <definedName name="_________obl1816" localSheetId="4">#REF!</definedName>
    <definedName name="_________obl1816" localSheetId="5">#REF!</definedName>
    <definedName name="_________obl1816" localSheetId="3">#REF!</definedName>
    <definedName name="_________obl1816" localSheetId="7">#REF!</definedName>
    <definedName name="_________obl1816">#REF!</definedName>
    <definedName name="_________obl1820" localSheetId="4">#REF!</definedName>
    <definedName name="_________obl1820" localSheetId="5">#REF!</definedName>
    <definedName name="_________obl1820" localSheetId="3">#REF!</definedName>
    <definedName name="_________obl1820" localSheetId="7">#REF!</definedName>
    <definedName name="_________obl1820">#REF!</definedName>
    <definedName name="_________obl1821" localSheetId="4">#REF!</definedName>
    <definedName name="_________obl1821" localSheetId="5">#REF!</definedName>
    <definedName name="_________obl1821" localSheetId="3">#REF!</definedName>
    <definedName name="_________obl1821" localSheetId="7">#REF!</definedName>
    <definedName name="_________obl1821">#REF!</definedName>
    <definedName name="_________obl1822" localSheetId="4">#REF!</definedName>
    <definedName name="_________obl1822" localSheetId="5">#REF!</definedName>
    <definedName name="_________obl1822" localSheetId="3">#REF!</definedName>
    <definedName name="_________obl1822" localSheetId="7">#REF!</definedName>
    <definedName name="_________obl1822">#REF!</definedName>
    <definedName name="_________obl1823" localSheetId="4">#REF!</definedName>
    <definedName name="_________obl1823" localSheetId="5">#REF!</definedName>
    <definedName name="_________obl1823" localSheetId="3">#REF!</definedName>
    <definedName name="_________obl1823" localSheetId="7">#REF!</definedName>
    <definedName name="_________obl1823">#REF!</definedName>
    <definedName name="_________obl1824" localSheetId="4">#REF!</definedName>
    <definedName name="_________obl1824" localSheetId="5">#REF!</definedName>
    <definedName name="_________obl1824" localSheetId="3">#REF!</definedName>
    <definedName name="_________obl1824" localSheetId="7">#REF!</definedName>
    <definedName name="_________obl1824">#REF!</definedName>
    <definedName name="_________obl1825" localSheetId="4">#REF!</definedName>
    <definedName name="_________obl1825" localSheetId="5">#REF!</definedName>
    <definedName name="_________obl1825" localSheetId="3">#REF!</definedName>
    <definedName name="_________obl1825" localSheetId="7">#REF!</definedName>
    <definedName name="_________obl1825">#REF!</definedName>
    <definedName name="_________obl1826" localSheetId="4">#REF!</definedName>
    <definedName name="_________obl1826" localSheetId="5">#REF!</definedName>
    <definedName name="_________obl1826" localSheetId="3">#REF!</definedName>
    <definedName name="_________obl1826" localSheetId="7">#REF!</definedName>
    <definedName name="_________obl1826">#REF!</definedName>
    <definedName name="_________obl1827" localSheetId="4">#REF!</definedName>
    <definedName name="_________obl1827" localSheetId="5">#REF!</definedName>
    <definedName name="_________obl1827" localSheetId="3">#REF!</definedName>
    <definedName name="_________obl1827" localSheetId="7">#REF!</definedName>
    <definedName name="_________obl1827">#REF!</definedName>
    <definedName name="_________obl1828" localSheetId="4">#REF!</definedName>
    <definedName name="_________obl1828" localSheetId="5">#REF!</definedName>
    <definedName name="_________obl1828" localSheetId="3">#REF!</definedName>
    <definedName name="_________obl1828" localSheetId="7">#REF!</definedName>
    <definedName name="_________obl1828">#REF!</definedName>
    <definedName name="_________obl1829" localSheetId="4">#REF!</definedName>
    <definedName name="_________obl1829" localSheetId="5">#REF!</definedName>
    <definedName name="_________obl1829" localSheetId="3">#REF!</definedName>
    <definedName name="_________obl1829" localSheetId="7">#REF!</definedName>
    <definedName name="_________obl1829">#REF!</definedName>
    <definedName name="_________obl183" localSheetId="4">#REF!</definedName>
    <definedName name="_________obl183" localSheetId="5">#REF!</definedName>
    <definedName name="_________obl183" localSheetId="3">#REF!</definedName>
    <definedName name="_________obl183" localSheetId="7">#REF!</definedName>
    <definedName name="_________obl183">#REF!</definedName>
    <definedName name="_________obl1831" localSheetId="4">#REF!</definedName>
    <definedName name="_________obl1831" localSheetId="5">#REF!</definedName>
    <definedName name="_________obl1831" localSheetId="3">#REF!</definedName>
    <definedName name="_________obl1831" localSheetId="7">#REF!</definedName>
    <definedName name="_________obl1831">#REF!</definedName>
    <definedName name="_________obl1832" localSheetId="4">#REF!</definedName>
    <definedName name="_________obl1832" localSheetId="5">#REF!</definedName>
    <definedName name="_________obl1832" localSheetId="3">#REF!</definedName>
    <definedName name="_________obl1832" localSheetId="7">#REF!</definedName>
    <definedName name="_________obl1832">#REF!</definedName>
    <definedName name="_________obl184" localSheetId="4">#REF!</definedName>
    <definedName name="_________obl184" localSheetId="5">#REF!</definedName>
    <definedName name="_________obl184" localSheetId="3">#REF!</definedName>
    <definedName name="_________obl184" localSheetId="7">#REF!</definedName>
    <definedName name="_________obl184">#REF!</definedName>
    <definedName name="_________obl185" localSheetId="4">#REF!</definedName>
    <definedName name="_________obl185" localSheetId="5">#REF!</definedName>
    <definedName name="_________obl185" localSheetId="3">#REF!</definedName>
    <definedName name="_________obl185" localSheetId="7">#REF!</definedName>
    <definedName name="_________obl185">#REF!</definedName>
    <definedName name="_________obl186" localSheetId="4">#REF!</definedName>
    <definedName name="_________obl186" localSheetId="5">#REF!</definedName>
    <definedName name="_________obl186" localSheetId="3">#REF!</definedName>
    <definedName name="_________obl186" localSheetId="7">#REF!</definedName>
    <definedName name="_________obl186">#REF!</definedName>
    <definedName name="_________obl187" localSheetId="4">#REF!</definedName>
    <definedName name="_________obl187" localSheetId="5">#REF!</definedName>
    <definedName name="_________obl187" localSheetId="3">#REF!</definedName>
    <definedName name="_________obl187" localSheetId="7">#REF!</definedName>
    <definedName name="_________obl187">#REF!</definedName>
    <definedName name="________obl11" localSheetId="9">#REF!</definedName>
    <definedName name="________obl12" localSheetId="9">#REF!</definedName>
    <definedName name="________obl13" localSheetId="9">#REF!</definedName>
    <definedName name="________obl14" localSheetId="9">#REF!</definedName>
    <definedName name="________obl15" localSheetId="9">#REF!</definedName>
    <definedName name="________obl16" localSheetId="9">#REF!</definedName>
    <definedName name="________obl17" localSheetId="9">#REF!</definedName>
    <definedName name="________obl1710" localSheetId="9">#REF!</definedName>
    <definedName name="________obl1711" localSheetId="9">#REF!</definedName>
    <definedName name="________obl1712" localSheetId="9">#REF!</definedName>
    <definedName name="________obl1713" localSheetId="9">#REF!</definedName>
    <definedName name="________obl1714" localSheetId="9">#REF!</definedName>
    <definedName name="________obl1715" localSheetId="9">#REF!</definedName>
    <definedName name="________obl1716" localSheetId="9">#REF!</definedName>
    <definedName name="________obl1717" localSheetId="9">#REF!</definedName>
    <definedName name="________obl1718" localSheetId="9">#REF!</definedName>
    <definedName name="________obl1719" localSheetId="9">#REF!</definedName>
    <definedName name="________obl173" localSheetId="9">#REF!</definedName>
    <definedName name="________obl174" localSheetId="9">#REF!</definedName>
    <definedName name="________obl175" localSheetId="9">#REF!</definedName>
    <definedName name="________obl176" localSheetId="9">#REF!</definedName>
    <definedName name="________obl177" localSheetId="9">#REF!</definedName>
    <definedName name="________obl178" localSheetId="9">#REF!</definedName>
    <definedName name="________obl179" localSheetId="9">#REF!</definedName>
    <definedName name="________obl18" localSheetId="9">#REF!</definedName>
    <definedName name="________obl181" localSheetId="9">#REF!</definedName>
    <definedName name="________obl1816" localSheetId="9">#REF!</definedName>
    <definedName name="________obl1820" localSheetId="9">#REF!</definedName>
    <definedName name="________obl1821" localSheetId="9">#REF!</definedName>
    <definedName name="________obl1822" localSheetId="9">#REF!</definedName>
    <definedName name="________obl1823" localSheetId="9">#REF!</definedName>
    <definedName name="________obl1824" localSheetId="9">#REF!</definedName>
    <definedName name="________obl1825" localSheetId="9">#REF!</definedName>
    <definedName name="________obl1826" localSheetId="9">#REF!</definedName>
    <definedName name="________obl1827" localSheetId="9">#REF!</definedName>
    <definedName name="________obl1828" localSheetId="9">#REF!</definedName>
    <definedName name="________obl1829" localSheetId="9">#REF!</definedName>
    <definedName name="________obl183" localSheetId="9">#REF!</definedName>
    <definedName name="________obl1831" localSheetId="9">#REF!</definedName>
    <definedName name="________obl1832" localSheetId="9">#REF!</definedName>
    <definedName name="________obl184" localSheetId="9">#REF!</definedName>
    <definedName name="________obl185" localSheetId="9">#REF!</definedName>
    <definedName name="________obl186" localSheetId="9">#REF!</definedName>
    <definedName name="________obl187" localSheetId="9">#REF!</definedName>
    <definedName name="_______obl11" localSheetId="4">#REF!</definedName>
    <definedName name="_______obl11" localSheetId="5">#REF!</definedName>
    <definedName name="_______obl11" localSheetId="3">#REF!</definedName>
    <definedName name="_______obl11" localSheetId="7">#REF!</definedName>
    <definedName name="_______obl11">#REF!</definedName>
    <definedName name="_______obl12" localSheetId="4">#REF!</definedName>
    <definedName name="_______obl12" localSheetId="5">#REF!</definedName>
    <definedName name="_______obl12" localSheetId="3">#REF!</definedName>
    <definedName name="_______obl12" localSheetId="7">#REF!</definedName>
    <definedName name="_______obl12">#REF!</definedName>
    <definedName name="_______obl13" localSheetId="4">#REF!</definedName>
    <definedName name="_______obl13" localSheetId="5">#REF!</definedName>
    <definedName name="_______obl13" localSheetId="3">#REF!</definedName>
    <definedName name="_______obl13" localSheetId="7">#REF!</definedName>
    <definedName name="_______obl13">#REF!</definedName>
    <definedName name="_______obl14" localSheetId="4">#REF!</definedName>
    <definedName name="_______obl14" localSheetId="5">#REF!</definedName>
    <definedName name="_______obl14" localSheetId="3">#REF!</definedName>
    <definedName name="_______obl14" localSheetId="7">#REF!</definedName>
    <definedName name="_______obl14">#REF!</definedName>
    <definedName name="_______obl15" localSheetId="4">#REF!</definedName>
    <definedName name="_______obl15" localSheetId="5">#REF!</definedName>
    <definedName name="_______obl15" localSheetId="3">#REF!</definedName>
    <definedName name="_______obl15" localSheetId="7">#REF!</definedName>
    <definedName name="_______obl15">#REF!</definedName>
    <definedName name="_______obl16" localSheetId="4">#REF!</definedName>
    <definedName name="_______obl16" localSheetId="5">#REF!</definedName>
    <definedName name="_______obl16" localSheetId="3">#REF!</definedName>
    <definedName name="_______obl16" localSheetId="7">#REF!</definedName>
    <definedName name="_______obl16">#REF!</definedName>
    <definedName name="_______obl17" localSheetId="4">#REF!</definedName>
    <definedName name="_______obl17" localSheetId="5">#REF!</definedName>
    <definedName name="_______obl17" localSheetId="3">#REF!</definedName>
    <definedName name="_______obl17" localSheetId="7">#REF!</definedName>
    <definedName name="_______obl17">#REF!</definedName>
    <definedName name="_______obl1710" localSheetId="4">#REF!</definedName>
    <definedName name="_______obl1710" localSheetId="5">#REF!</definedName>
    <definedName name="_______obl1710" localSheetId="3">#REF!</definedName>
    <definedName name="_______obl1710" localSheetId="7">#REF!</definedName>
    <definedName name="_______obl1710">#REF!</definedName>
    <definedName name="_______obl1711" localSheetId="4">#REF!</definedName>
    <definedName name="_______obl1711" localSheetId="5">#REF!</definedName>
    <definedName name="_______obl1711" localSheetId="3">#REF!</definedName>
    <definedName name="_______obl1711" localSheetId="7">#REF!</definedName>
    <definedName name="_______obl1711">#REF!</definedName>
    <definedName name="_______obl1712" localSheetId="4">#REF!</definedName>
    <definedName name="_______obl1712" localSheetId="5">#REF!</definedName>
    <definedName name="_______obl1712" localSheetId="3">#REF!</definedName>
    <definedName name="_______obl1712" localSheetId="7">#REF!</definedName>
    <definedName name="_______obl1712">#REF!</definedName>
    <definedName name="_______obl1713" localSheetId="4">#REF!</definedName>
    <definedName name="_______obl1713" localSheetId="5">#REF!</definedName>
    <definedName name="_______obl1713" localSheetId="3">#REF!</definedName>
    <definedName name="_______obl1713" localSheetId="7">#REF!</definedName>
    <definedName name="_______obl1713">#REF!</definedName>
    <definedName name="_______obl1714" localSheetId="4">#REF!</definedName>
    <definedName name="_______obl1714" localSheetId="5">#REF!</definedName>
    <definedName name="_______obl1714" localSheetId="3">#REF!</definedName>
    <definedName name="_______obl1714" localSheetId="7">#REF!</definedName>
    <definedName name="_______obl1714">#REF!</definedName>
    <definedName name="_______obl1715" localSheetId="4">#REF!</definedName>
    <definedName name="_______obl1715" localSheetId="5">#REF!</definedName>
    <definedName name="_______obl1715" localSheetId="3">#REF!</definedName>
    <definedName name="_______obl1715" localSheetId="7">#REF!</definedName>
    <definedName name="_______obl1715">#REF!</definedName>
    <definedName name="_______obl1716" localSheetId="4">#REF!</definedName>
    <definedName name="_______obl1716" localSheetId="5">#REF!</definedName>
    <definedName name="_______obl1716" localSheetId="3">#REF!</definedName>
    <definedName name="_______obl1716" localSheetId="7">#REF!</definedName>
    <definedName name="_______obl1716">#REF!</definedName>
    <definedName name="_______obl1717" localSheetId="4">#REF!</definedName>
    <definedName name="_______obl1717" localSheetId="5">#REF!</definedName>
    <definedName name="_______obl1717" localSheetId="3">#REF!</definedName>
    <definedName name="_______obl1717" localSheetId="7">#REF!</definedName>
    <definedName name="_______obl1717">#REF!</definedName>
    <definedName name="_______obl1718" localSheetId="4">#REF!</definedName>
    <definedName name="_______obl1718" localSheetId="5">#REF!</definedName>
    <definedName name="_______obl1718" localSheetId="3">#REF!</definedName>
    <definedName name="_______obl1718" localSheetId="7">#REF!</definedName>
    <definedName name="_______obl1718">#REF!</definedName>
    <definedName name="_______obl1719" localSheetId="4">#REF!</definedName>
    <definedName name="_______obl1719" localSheetId="5">#REF!</definedName>
    <definedName name="_______obl1719" localSheetId="3">#REF!</definedName>
    <definedName name="_______obl1719" localSheetId="7">#REF!</definedName>
    <definedName name="_______obl1719">#REF!</definedName>
    <definedName name="_______obl173" localSheetId="4">#REF!</definedName>
    <definedName name="_______obl173" localSheetId="5">#REF!</definedName>
    <definedName name="_______obl173" localSheetId="3">#REF!</definedName>
    <definedName name="_______obl173" localSheetId="7">#REF!</definedName>
    <definedName name="_______obl173">#REF!</definedName>
    <definedName name="_______obl174" localSheetId="4">#REF!</definedName>
    <definedName name="_______obl174" localSheetId="5">#REF!</definedName>
    <definedName name="_______obl174" localSheetId="3">#REF!</definedName>
    <definedName name="_______obl174" localSheetId="7">#REF!</definedName>
    <definedName name="_______obl174">#REF!</definedName>
    <definedName name="_______obl175" localSheetId="4">#REF!</definedName>
    <definedName name="_______obl175" localSheetId="5">#REF!</definedName>
    <definedName name="_______obl175" localSheetId="3">#REF!</definedName>
    <definedName name="_______obl175" localSheetId="7">#REF!</definedName>
    <definedName name="_______obl175">#REF!</definedName>
    <definedName name="_______obl176" localSheetId="4">#REF!</definedName>
    <definedName name="_______obl176" localSheetId="5">#REF!</definedName>
    <definedName name="_______obl176" localSheetId="3">#REF!</definedName>
    <definedName name="_______obl176" localSheetId="7">#REF!</definedName>
    <definedName name="_______obl176">#REF!</definedName>
    <definedName name="_______obl177" localSheetId="4">#REF!</definedName>
    <definedName name="_______obl177" localSheetId="5">#REF!</definedName>
    <definedName name="_______obl177" localSheetId="3">#REF!</definedName>
    <definedName name="_______obl177" localSheetId="7">#REF!</definedName>
    <definedName name="_______obl177">#REF!</definedName>
    <definedName name="_______obl178" localSheetId="4">#REF!</definedName>
    <definedName name="_______obl178" localSheetId="5">#REF!</definedName>
    <definedName name="_______obl178" localSheetId="3">#REF!</definedName>
    <definedName name="_______obl178" localSheetId="7">#REF!</definedName>
    <definedName name="_______obl178">#REF!</definedName>
    <definedName name="_______obl179" localSheetId="4">#REF!</definedName>
    <definedName name="_______obl179" localSheetId="5">#REF!</definedName>
    <definedName name="_______obl179" localSheetId="3">#REF!</definedName>
    <definedName name="_______obl179" localSheetId="7">#REF!</definedName>
    <definedName name="_______obl179">#REF!</definedName>
    <definedName name="_______obl18" localSheetId="4">#REF!</definedName>
    <definedName name="_______obl18" localSheetId="5">#REF!</definedName>
    <definedName name="_______obl18" localSheetId="3">#REF!</definedName>
    <definedName name="_______obl18" localSheetId="7">#REF!</definedName>
    <definedName name="_______obl18">#REF!</definedName>
    <definedName name="_______obl181" localSheetId="4">#REF!</definedName>
    <definedName name="_______obl181" localSheetId="5">#REF!</definedName>
    <definedName name="_______obl181" localSheetId="3">#REF!</definedName>
    <definedName name="_______obl181" localSheetId="7">#REF!</definedName>
    <definedName name="_______obl181">#REF!</definedName>
    <definedName name="_______obl1816" localSheetId="4">#REF!</definedName>
    <definedName name="_______obl1816" localSheetId="5">#REF!</definedName>
    <definedName name="_______obl1816" localSheetId="3">#REF!</definedName>
    <definedName name="_______obl1816" localSheetId="7">#REF!</definedName>
    <definedName name="_______obl1816">#REF!</definedName>
    <definedName name="_______obl1820" localSheetId="4">#REF!</definedName>
    <definedName name="_______obl1820" localSheetId="5">#REF!</definedName>
    <definedName name="_______obl1820" localSheetId="3">#REF!</definedName>
    <definedName name="_______obl1820" localSheetId="7">#REF!</definedName>
    <definedName name="_______obl1820">#REF!</definedName>
    <definedName name="_______obl1821" localSheetId="4">#REF!</definedName>
    <definedName name="_______obl1821" localSheetId="5">#REF!</definedName>
    <definedName name="_______obl1821" localSheetId="3">#REF!</definedName>
    <definedName name="_______obl1821" localSheetId="7">#REF!</definedName>
    <definedName name="_______obl1821">#REF!</definedName>
    <definedName name="_______obl1822" localSheetId="4">#REF!</definedName>
    <definedName name="_______obl1822" localSheetId="5">#REF!</definedName>
    <definedName name="_______obl1822" localSheetId="3">#REF!</definedName>
    <definedName name="_______obl1822" localSheetId="7">#REF!</definedName>
    <definedName name="_______obl1822">#REF!</definedName>
    <definedName name="_______obl1823" localSheetId="4">#REF!</definedName>
    <definedName name="_______obl1823" localSheetId="5">#REF!</definedName>
    <definedName name="_______obl1823" localSheetId="3">#REF!</definedName>
    <definedName name="_______obl1823" localSheetId="7">#REF!</definedName>
    <definedName name="_______obl1823">#REF!</definedName>
    <definedName name="_______obl1824" localSheetId="4">#REF!</definedName>
    <definedName name="_______obl1824" localSheetId="5">#REF!</definedName>
    <definedName name="_______obl1824" localSheetId="3">#REF!</definedName>
    <definedName name="_______obl1824" localSheetId="7">#REF!</definedName>
    <definedName name="_______obl1824">#REF!</definedName>
    <definedName name="_______obl1825" localSheetId="4">#REF!</definedName>
    <definedName name="_______obl1825" localSheetId="5">#REF!</definedName>
    <definedName name="_______obl1825" localSheetId="3">#REF!</definedName>
    <definedName name="_______obl1825" localSheetId="7">#REF!</definedName>
    <definedName name="_______obl1825">#REF!</definedName>
    <definedName name="_______obl1826" localSheetId="4">#REF!</definedName>
    <definedName name="_______obl1826" localSheetId="5">#REF!</definedName>
    <definedName name="_______obl1826" localSheetId="3">#REF!</definedName>
    <definedName name="_______obl1826" localSheetId="7">#REF!</definedName>
    <definedName name="_______obl1826">#REF!</definedName>
    <definedName name="_______obl1827" localSheetId="4">#REF!</definedName>
    <definedName name="_______obl1827" localSheetId="5">#REF!</definedName>
    <definedName name="_______obl1827" localSheetId="3">#REF!</definedName>
    <definedName name="_______obl1827" localSheetId="7">#REF!</definedName>
    <definedName name="_______obl1827">#REF!</definedName>
    <definedName name="_______obl1828" localSheetId="4">#REF!</definedName>
    <definedName name="_______obl1828" localSheetId="5">#REF!</definedName>
    <definedName name="_______obl1828" localSheetId="3">#REF!</definedName>
    <definedName name="_______obl1828" localSheetId="7">#REF!</definedName>
    <definedName name="_______obl1828">#REF!</definedName>
    <definedName name="_______obl1829" localSheetId="4">#REF!</definedName>
    <definedName name="_______obl1829" localSheetId="5">#REF!</definedName>
    <definedName name="_______obl1829" localSheetId="3">#REF!</definedName>
    <definedName name="_______obl1829" localSheetId="7">#REF!</definedName>
    <definedName name="_______obl1829">#REF!</definedName>
    <definedName name="_______obl183" localSheetId="4">#REF!</definedName>
    <definedName name="_______obl183" localSheetId="5">#REF!</definedName>
    <definedName name="_______obl183" localSheetId="3">#REF!</definedName>
    <definedName name="_______obl183" localSheetId="7">#REF!</definedName>
    <definedName name="_______obl183">#REF!</definedName>
    <definedName name="_______obl1831" localSheetId="4">#REF!</definedName>
    <definedName name="_______obl1831" localSheetId="5">#REF!</definedName>
    <definedName name="_______obl1831" localSheetId="3">#REF!</definedName>
    <definedName name="_______obl1831" localSheetId="7">#REF!</definedName>
    <definedName name="_______obl1831">#REF!</definedName>
    <definedName name="_______obl1832" localSheetId="4">#REF!</definedName>
    <definedName name="_______obl1832" localSheetId="5">#REF!</definedName>
    <definedName name="_______obl1832" localSheetId="3">#REF!</definedName>
    <definedName name="_______obl1832" localSheetId="7">#REF!</definedName>
    <definedName name="_______obl1832">#REF!</definedName>
    <definedName name="_______obl184" localSheetId="4">#REF!</definedName>
    <definedName name="_______obl184" localSheetId="5">#REF!</definedName>
    <definedName name="_______obl184" localSheetId="3">#REF!</definedName>
    <definedName name="_______obl184" localSheetId="7">#REF!</definedName>
    <definedName name="_______obl184">#REF!</definedName>
    <definedName name="_______obl185" localSheetId="4">#REF!</definedName>
    <definedName name="_______obl185" localSheetId="5">#REF!</definedName>
    <definedName name="_______obl185" localSheetId="3">#REF!</definedName>
    <definedName name="_______obl185" localSheetId="7">#REF!</definedName>
    <definedName name="_______obl185">#REF!</definedName>
    <definedName name="_______obl186" localSheetId="4">#REF!</definedName>
    <definedName name="_______obl186" localSheetId="5">#REF!</definedName>
    <definedName name="_______obl186" localSheetId="3">#REF!</definedName>
    <definedName name="_______obl186" localSheetId="7">#REF!</definedName>
    <definedName name="_______obl186">#REF!</definedName>
    <definedName name="_______obl187" localSheetId="4">#REF!</definedName>
    <definedName name="_______obl187" localSheetId="5">#REF!</definedName>
    <definedName name="_______obl187" localSheetId="3">#REF!</definedName>
    <definedName name="_______obl187" localSheetId="7">#REF!</definedName>
    <definedName name="_______obl187">#REF!</definedName>
    <definedName name="_____obl11" localSheetId="4">#REF!</definedName>
    <definedName name="_____obl11" localSheetId="5">#REF!</definedName>
    <definedName name="_____obl11" localSheetId="3">#REF!</definedName>
    <definedName name="_____obl11" localSheetId="7">#REF!</definedName>
    <definedName name="_____obl11">#REF!</definedName>
    <definedName name="_____obl12" localSheetId="4">#REF!</definedName>
    <definedName name="_____obl12" localSheetId="5">#REF!</definedName>
    <definedName name="_____obl12" localSheetId="3">#REF!</definedName>
    <definedName name="_____obl12" localSheetId="7">#REF!</definedName>
    <definedName name="_____obl12">#REF!</definedName>
    <definedName name="_____obl13" localSheetId="4">#REF!</definedName>
    <definedName name="_____obl13" localSheetId="5">#REF!</definedName>
    <definedName name="_____obl13" localSheetId="3">#REF!</definedName>
    <definedName name="_____obl13" localSheetId="7">#REF!</definedName>
    <definedName name="_____obl13">#REF!</definedName>
    <definedName name="_____obl14" localSheetId="4">#REF!</definedName>
    <definedName name="_____obl14" localSheetId="5">#REF!</definedName>
    <definedName name="_____obl14" localSheetId="3">#REF!</definedName>
    <definedName name="_____obl14" localSheetId="7">#REF!</definedName>
    <definedName name="_____obl14">#REF!</definedName>
    <definedName name="_____obl15" localSheetId="4">#REF!</definedName>
    <definedName name="_____obl15" localSheetId="5">#REF!</definedName>
    <definedName name="_____obl15" localSheetId="3">#REF!</definedName>
    <definedName name="_____obl15" localSheetId="7">#REF!</definedName>
    <definedName name="_____obl15">#REF!</definedName>
    <definedName name="_____obl16" localSheetId="4">#REF!</definedName>
    <definedName name="_____obl16" localSheetId="5">#REF!</definedName>
    <definedName name="_____obl16" localSheetId="3">#REF!</definedName>
    <definedName name="_____obl16" localSheetId="7">#REF!</definedName>
    <definedName name="_____obl16">#REF!</definedName>
    <definedName name="_____obl17" localSheetId="4">#REF!</definedName>
    <definedName name="_____obl17" localSheetId="5">#REF!</definedName>
    <definedName name="_____obl17" localSheetId="3">#REF!</definedName>
    <definedName name="_____obl17" localSheetId="7">#REF!</definedName>
    <definedName name="_____obl17">#REF!</definedName>
    <definedName name="_____obl1710" localSheetId="4">#REF!</definedName>
    <definedName name="_____obl1710" localSheetId="5">#REF!</definedName>
    <definedName name="_____obl1710" localSheetId="3">#REF!</definedName>
    <definedName name="_____obl1710" localSheetId="7">#REF!</definedName>
    <definedName name="_____obl1710">#REF!</definedName>
    <definedName name="_____obl1711" localSheetId="4">#REF!</definedName>
    <definedName name="_____obl1711" localSheetId="5">#REF!</definedName>
    <definedName name="_____obl1711" localSheetId="3">#REF!</definedName>
    <definedName name="_____obl1711" localSheetId="7">#REF!</definedName>
    <definedName name="_____obl1711">#REF!</definedName>
    <definedName name="_____obl1712" localSheetId="4">#REF!</definedName>
    <definedName name="_____obl1712" localSheetId="5">#REF!</definedName>
    <definedName name="_____obl1712" localSheetId="3">#REF!</definedName>
    <definedName name="_____obl1712" localSheetId="7">#REF!</definedName>
    <definedName name="_____obl1712">#REF!</definedName>
    <definedName name="_____obl1713" localSheetId="4">#REF!</definedName>
    <definedName name="_____obl1713" localSheetId="5">#REF!</definedName>
    <definedName name="_____obl1713" localSheetId="3">#REF!</definedName>
    <definedName name="_____obl1713" localSheetId="7">#REF!</definedName>
    <definedName name="_____obl1713">#REF!</definedName>
    <definedName name="_____obl1714" localSheetId="4">#REF!</definedName>
    <definedName name="_____obl1714" localSheetId="5">#REF!</definedName>
    <definedName name="_____obl1714" localSheetId="3">#REF!</definedName>
    <definedName name="_____obl1714" localSheetId="7">#REF!</definedName>
    <definedName name="_____obl1714">#REF!</definedName>
    <definedName name="_____obl1715" localSheetId="4">#REF!</definedName>
    <definedName name="_____obl1715" localSheetId="5">#REF!</definedName>
    <definedName name="_____obl1715" localSheetId="3">#REF!</definedName>
    <definedName name="_____obl1715" localSheetId="7">#REF!</definedName>
    <definedName name="_____obl1715">#REF!</definedName>
    <definedName name="_____obl1716" localSheetId="4">#REF!</definedName>
    <definedName name="_____obl1716" localSheetId="5">#REF!</definedName>
    <definedName name="_____obl1716" localSheetId="3">#REF!</definedName>
    <definedName name="_____obl1716" localSheetId="7">#REF!</definedName>
    <definedName name="_____obl1716">#REF!</definedName>
    <definedName name="_____obl1717" localSheetId="4">#REF!</definedName>
    <definedName name="_____obl1717" localSheetId="5">#REF!</definedName>
    <definedName name="_____obl1717" localSheetId="3">#REF!</definedName>
    <definedName name="_____obl1717" localSheetId="7">#REF!</definedName>
    <definedName name="_____obl1717">#REF!</definedName>
    <definedName name="_____obl1718" localSheetId="4">#REF!</definedName>
    <definedName name="_____obl1718" localSheetId="5">#REF!</definedName>
    <definedName name="_____obl1718" localSheetId="3">#REF!</definedName>
    <definedName name="_____obl1718" localSheetId="7">#REF!</definedName>
    <definedName name="_____obl1718">#REF!</definedName>
    <definedName name="_____obl1719" localSheetId="4">#REF!</definedName>
    <definedName name="_____obl1719" localSheetId="5">#REF!</definedName>
    <definedName name="_____obl1719" localSheetId="3">#REF!</definedName>
    <definedName name="_____obl1719" localSheetId="7">#REF!</definedName>
    <definedName name="_____obl1719">#REF!</definedName>
    <definedName name="_____obl173" localSheetId="4">#REF!</definedName>
    <definedName name="_____obl173" localSheetId="5">#REF!</definedName>
    <definedName name="_____obl173" localSheetId="3">#REF!</definedName>
    <definedName name="_____obl173" localSheetId="7">#REF!</definedName>
    <definedName name="_____obl173">#REF!</definedName>
    <definedName name="_____obl174" localSheetId="4">#REF!</definedName>
    <definedName name="_____obl174" localSheetId="5">#REF!</definedName>
    <definedName name="_____obl174" localSheetId="3">#REF!</definedName>
    <definedName name="_____obl174" localSheetId="7">#REF!</definedName>
    <definedName name="_____obl174">#REF!</definedName>
    <definedName name="_____obl175" localSheetId="4">#REF!</definedName>
    <definedName name="_____obl175" localSheetId="5">#REF!</definedName>
    <definedName name="_____obl175" localSheetId="3">#REF!</definedName>
    <definedName name="_____obl175" localSheetId="7">#REF!</definedName>
    <definedName name="_____obl175">#REF!</definedName>
    <definedName name="_____obl176" localSheetId="4">#REF!</definedName>
    <definedName name="_____obl176" localSheetId="5">#REF!</definedName>
    <definedName name="_____obl176" localSheetId="3">#REF!</definedName>
    <definedName name="_____obl176" localSheetId="7">#REF!</definedName>
    <definedName name="_____obl176">#REF!</definedName>
    <definedName name="_____obl177" localSheetId="4">#REF!</definedName>
    <definedName name="_____obl177" localSheetId="5">#REF!</definedName>
    <definedName name="_____obl177" localSheetId="3">#REF!</definedName>
    <definedName name="_____obl177" localSheetId="7">#REF!</definedName>
    <definedName name="_____obl177">#REF!</definedName>
    <definedName name="_____obl178" localSheetId="4">#REF!</definedName>
    <definedName name="_____obl178" localSheetId="5">#REF!</definedName>
    <definedName name="_____obl178" localSheetId="3">#REF!</definedName>
    <definedName name="_____obl178" localSheetId="7">#REF!</definedName>
    <definedName name="_____obl178">#REF!</definedName>
    <definedName name="_____obl179" localSheetId="4">#REF!</definedName>
    <definedName name="_____obl179" localSheetId="5">#REF!</definedName>
    <definedName name="_____obl179" localSheetId="3">#REF!</definedName>
    <definedName name="_____obl179" localSheetId="7">#REF!</definedName>
    <definedName name="_____obl179">#REF!</definedName>
    <definedName name="_____obl18" localSheetId="4">#REF!</definedName>
    <definedName name="_____obl18" localSheetId="5">#REF!</definedName>
    <definedName name="_____obl18" localSheetId="3">#REF!</definedName>
    <definedName name="_____obl18" localSheetId="7">#REF!</definedName>
    <definedName name="_____obl18">#REF!</definedName>
    <definedName name="_____obl181" localSheetId="4">#REF!</definedName>
    <definedName name="_____obl181" localSheetId="5">#REF!</definedName>
    <definedName name="_____obl181" localSheetId="3">#REF!</definedName>
    <definedName name="_____obl181" localSheetId="7">#REF!</definedName>
    <definedName name="_____obl181">#REF!</definedName>
    <definedName name="_____obl1816" localSheetId="4">#REF!</definedName>
    <definedName name="_____obl1816" localSheetId="5">#REF!</definedName>
    <definedName name="_____obl1816" localSheetId="3">#REF!</definedName>
    <definedName name="_____obl1816" localSheetId="7">#REF!</definedName>
    <definedName name="_____obl1816">#REF!</definedName>
    <definedName name="_____obl1820" localSheetId="4">#REF!</definedName>
    <definedName name="_____obl1820" localSheetId="5">#REF!</definedName>
    <definedName name="_____obl1820" localSheetId="3">#REF!</definedName>
    <definedName name="_____obl1820" localSheetId="7">#REF!</definedName>
    <definedName name="_____obl1820">#REF!</definedName>
    <definedName name="_____obl1821" localSheetId="4">#REF!</definedName>
    <definedName name="_____obl1821" localSheetId="5">#REF!</definedName>
    <definedName name="_____obl1821" localSheetId="3">#REF!</definedName>
    <definedName name="_____obl1821" localSheetId="7">#REF!</definedName>
    <definedName name="_____obl1821">#REF!</definedName>
    <definedName name="_____obl1822" localSheetId="4">#REF!</definedName>
    <definedName name="_____obl1822" localSheetId="5">#REF!</definedName>
    <definedName name="_____obl1822" localSheetId="3">#REF!</definedName>
    <definedName name="_____obl1822" localSheetId="7">#REF!</definedName>
    <definedName name="_____obl1822">#REF!</definedName>
    <definedName name="_____obl1823" localSheetId="4">#REF!</definedName>
    <definedName name="_____obl1823" localSheetId="5">#REF!</definedName>
    <definedName name="_____obl1823" localSheetId="3">#REF!</definedName>
    <definedName name="_____obl1823" localSheetId="7">#REF!</definedName>
    <definedName name="_____obl1823">#REF!</definedName>
    <definedName name="_____obl1824" localSheetId="4">#REF!</definedName>
    <definedName name="_____obl1824" localSheetId="5">#REF!</definedName>
    <definedName name="_____obl1824" localSheetId="3">#REF!</definedName>
    <definedName name="_____obl1824" localSheetId="7">#REF!</definedName>
    <definedName name="_____obl1824">#REF!</definedName>
    <definedName name="_____obl1825" localSheetId="4">#REF!</definedName>
    <definedName name="_____obl1825" localSheetId="5">#REF!</definedName>
    <definedName name="_____obl1825" localSheetId="3">#REF!</definedName>
    <definedName name="_____obl1825" localSheetId="7">#REF!</definedName>
    <definedName name="_____obl1825">#REF!</definedName>
    <definedName name="_____obl1826" localSheetId="4">#REF!</definedName>
    <definedName name="_____obl1826" localSheetId="5">#REF!</definedName>
    <definedName name="_____obl1826" localSheetId="3">#REF!</definedName>
    <definedName name="_____obl1826" localSheetId="7">#REF!</definedName>
    <definedName name="_____obl1826">#REF!</definedName>
    <definedName name="_____obl1827" localSheetId="4">#REF!</definedName>
    <definedName name="_____obl1827" localSheetId="5">#REF!</definedName>
    <definedName name="_____obl1827" localSheetId="3">#REF!</definedName>
    <definedName name="_____obl1827" localSheetId="7">#REF!</definedName>
    <definedName name="_____obl1827">#REF!</definedName>
    <definedName name="_____obl1828" localSheetId="4">#REF!</definedName>
    <definedName name="_____obl1828" localSheetId="5">#REF!</definedName>
    <definedName name="_____obl1828" localSheetId="3">#REF!</definedName>
    <definedName name="_____obl1828" localSheetId="7">#REF!</definedName>
    <definedName name="_____obl1828">#REF!</definedName>
    <definedName name="_____obl1829" localSheetId="4">#REF!</definedName>
    <definedName name="_____obl1829" localSheetId="5">#REF!</definedName>
    <definedName name="_____obl1829" localSheetId="3">#REF!</definedName>
    <definedName name="_____obl1829" localSheetId="7">#REF!</definedName>
    <definedName name="_____obl1829">#REF!</definedName>
    <definedName name="_____obl183" localSheetId="4">#REF!</definedName>
    <definedName name="_____obl183" localSheetId="5">#REF!</definedName>
    <definedName name="_____obl183" localSheetId="3">#REF!</definedName>
    <definedName name="_____obl183" localSheetId="7">#REF!</definedName>
    <definedName name="_____obl183">#REF!</definedName>
    <definedName name="_____obl1831" localSheetId="4">#REF!</definedName>
    <definedName name="_____obl1831" localSheetId="5">#REF!</definedName>
    <definedName name="_____obl1831" localSheetId="3">#REF!</definedName>
    <definedName name="_____obl1831" localSheetId="7">#REF!</definedName>
    <definedName name="_____obl1831">#REF!</definedName>
    <definedName name="_____obl1832" localSheetId="4">#REF!</definedName>
    <definedName name="_____obl1832" localSheetId="5">#REF!</definedName>
    <definedName name="_____obl1832" localSheetId="3">#REF!</definedName>
    <definedName name="_____obl1832" localSheetId="7">#REF!</definedName>
    <definedName name="_____obl1832">#REF!</definedName>
    <definedName name="_____obl184" localSheetId="4">#REF!</definedName>
    <definedName name="_____obl184" localSheetId="5">#REF!</definedName>
    <definedName name="_____obl184" localSheetId="3">#REF!</definedName>
    <definedName name="_____obl184" localSheetId="7">#REF!</definedName>
    <definedName name="_____obl184">#REF!</definedName>
    <definedName name="_____obl185" localSheetId="4">#REF!</definedName>
    <definedName name="_____obl185" localSheetId="5">#REF!</definedName>
    <definedName name="_____obl185" localSheetId="3">#REF!</definedName>
    <definedName name="_____obl185" localSheetId="7">#REF!</definedName>
    <definedName name="_____obl185">#REF!</definedName>
    <definedName name="_____obl186" localSheetId="4">#REF!</definedName>
    <definedName name="_____obl186" localSheetId="5">#REF!</definedName>
    <definedName name="_____obl186" localSheetId="3">#REF!</definedName>
    <definedName name="_____obl186" localSheetId="7">#REF!</definedName>
    <definedName name="_____obl186">#REF!</definedName>
    <definedName name="_____obl187" localSheetId="4">#REF!</definedName>
    <definedName name="_____obl187" localSheetId="5">#REF!</definedName>
    <definedName name="_____obl187" localSheetId="3">#REF!</definedName>
    <definedName name="_____obl187" localSheetId="7">#REF!</definedName>
    <definedName name="_____obl187">#REF!</definedName>
    <definedName name="____obl11" localSheetId="1">#REF!</definedName>
    <definedName name="____obl11">#REF!</definedName>
    <definedName name="____obl12" localSheetId="1">#REF!</definedName>
    <definedName name="____obl12">#REF!</definedName>
    <definedName name="____obl13" localSheetId="1">#REF!</definedName>
    <definedName name="____obl13">#REF!</definedName>
    <definedName name="____obl14" localSheetId="1">#REF!</definedName>
    <definedName name="____obl14">#REF!</definedName>
    <definedName name="____obl15" localSheetId="1">#REF!</definedName>
    <definedName name="____obl15">#REF!</definedName>
    <definedName name="____obl16" localSheetId="1">#REF!</definedName>
    <definedName name="____obl16">#REF!</definedName>
    <definedName name="____obl17" localSheetId="1">#REF!</definedName>
    <definedName name="____obl17">#REF!</definedName>
    <definedName name="____obl1710" localSheetId="1">#REF!</definedName>
    <definedName name="____obl1710">#REF!</definedName>
    <definedName name="____obl1711" localSheetId="1">#REF!</definedName>
    <definedName name="____obl1711">#REF!</definedName>
    <definedName name="____obl1712" localSheetId="1">#REF!</definedName>
    <definedName name="____obl1712">#REF!</definedName>
    <definedName name="____obl1713" localSheetId="1">#REF!</definedName>
    <definedName name="____obl1713">#REF!</definedName>
    <definedName name="____obl1714" localSheetId="1">#REF!</definedName>
    <definedName name="____obl1714">#REF!</definedName>
    <definedName name="____obl1715" localSheetId="1">#REF!</definedName>
    <definedName name="____obl1715">#REF!</definedName>
    <definedName name="____obl1716" localSheetId="1">#REF!</definedName>
    <definedName name="____obl1716">#REF!</definedName>
    <definedName name="____obl1717" localSheetId="1">#REF!</definedName>
    <definedName name="____obl1717">#REF!</definedName>
    <definedName name="____obl1718" localSheetId="1">#REF!</definedName>
    <definedName name="____obl1718">#REF!</definedName>
    <definedName name="____obl1719" localSheetId="1">#REF!</definedName>
    <definedName name="____obl1719">#REF!</definedName>
    <definedName name="____obl173" localSheetId="1">#REF!</definedName>
    <definedName name="____obl173">#REF!</definedName>
    <definedName name="____obl174" localSheetId="1">#REF!</definedName>
    <definedName name="____obl174">#REF!</definedName>
    <definedName name="____obl175" localSheetId="1">#REF!</definedName>
    <definedName name="____obl175">#REF!</definedName>
    <definedName name="____obl176" localSheetId="1">#REF!</definedName>
    <definedName name="____obl176">#REF!</definedName>
    <definedName name="____obl177" localSheetId="1">#REF!</definedName>
    <definedName name="____obl177">#REF!</definedName>
    <definedName name="____obl178" localSheetId="1">#REF!</definedName>
    <definedName name="____obl178">#REF!</definedName>
    <definedName name="____obl179" localSheetId="1">#REF!</definedName>
    <definedName name="____obl179">#REF!</definedName>
    <definedName name="____obl18" localSheetId="1">#REF!</definedName>
    <definedName name="____obl18">#REF!</definedName>
    <definedName name="____obl181" localSheetId="1">#REF!</definedName>
    <definedName name="____obl181">#REF!</definedName>
    <definedName name="____obl1816" localSheetId="1">#REF!</definedName>
    <definedName name="____obl1816">#REF!</definedName>
    <definedName name="____obl1820" localSheetId="1">#REF!</definedName>
    <definedName name="____obl1820">#REF!</definedName>
    <definedName name="____obl1821" localSheetId="1">#REF!</definedName>
    <definedName name="____obl1821">#REF!</definedName>
    <definedName name="____obl1822" localSheetId="1">#REF!</definedName>
    <definedName name="____obl1822">#REF!</definedName>
    <definedName name="____obl1823" localSheetId="1">#REF!</definedName>
    <definedName name="____obl1823">#REF!</definedName>
    <definedName name="____obl1824" localSheetId="1">#REF!</definedName>
    <definedName name="____obl1824">#REF!</definedName>
    <definedName name="____obl1825" localSheetId="1">#REF!</definedName>
    <definedName name="____obl1825">#REF!</definedName>
    <definedName name="____obl1826" localSheetId="1">#REF!</definedName>
    <definedName name="____obl1826">#REF!</definedName>
    <definedName name="____obl1827" localSheetId="1">#REF!</definedName>
    <definedName name="____obl1827">#REF!</definedName>
    <definedName name="____obl1828" localSheetId="1">#REF!</definedName>
    <definedName name="____obl1828">#REF!</definedName>
    <definedName name="____obl1829" localSheetId="1">#REF!</definedName>
    <definedName name="____obl1829">#REF!</definedName>
    <definedName name="____obl183" localSheetId="1">#REF!</definedName>
    <definedName name="____obl183">#REF!</definedName>
    <definedName name="____obl1831" localSheetId="1">#REF!</definedName>
    <definedName name="____obl1831">#REF!</definedName>
    <definedName name="____obl1832" localSheetId="1">#REF!</definedName>
    <definedName name="____obl1832">#REF!</definedName>
    <definedName name="____obl184" localSheetId="1">#REF!</definedName>
    <definedName name="____obl184">#REF!</definedName>
    <definedName name="____obl185" localSheetId="1">#REF!</definedName>
    <definedName name="____obl185">#REF!</definedName>
    <definedName name="____obl186" localSheetId="1">#REF!</definedName>
    <definedName name="____obl186">#REF!</definedName>
    <definedName name="____obl187" localSheetId="1">#REF!</definedName>
    <definedName name="____obl187">#REF!</definedName>
    <definedName name="___obl11" localSheetId="4">#REF!</definedName>
    <definedName name="___obl11" localSheetId="5">#REF!</definedName>
    <definedName name="___obl11" localSheetId="3">#REF!</definedName>
    <definedName name="___obl11" localSheetId="7">#REF!</definedName>
    <definedName name="___obl11">#REF!</definedName>
    <definedName name="___obl12" localSheetId="4">#REF!</definedName>
    <definedName name="___obl12" localSheetId="5">#REF!</definedName>
    <definedName name="___obl12" localSheetId="3">#REF!</definedName>
    <definedName name="___obl12" localSheetId="7">#REF!</definedName>
    <definedName name="___obl12">#REF!</definedName>
    <definedName name="___obl13" localSheetId="4">#REF!</definedName>
    <definedName name="___obl13" localSheetId="5">#REF!</definedName>
    <definedName name="___obl13" localSheetId="3">#REF!</definedName>
    <definedName name="___obl13" localSheetId="7">#REF!</definedName>
    <definedName name="___obl13">#REF!</definedName>
    <definedName name="___obl14" localSheetId="4">#REF!</definedName>
    <definedName name="___obl14" localSheetId="5">#REF!</definedName>
    <definedName name="___obl14" localSheetId="3">#REF!</definedName>
    <definedName name="___obl14" localSheetId="7">#REF!</definedName>
    <definedName name="___obl14">#REF!</definedName>
    <definedName name="___obl15" localSheetId="4">#REF!</definedName>
    <definedName name="___obl15" localSheetId="5">#REF!</definedName>
    <definedName name="___obl15" localSheetId="3">#REF!</definedName>
    <definedName name="___obl15" localSheetId="7">#REF!</definedName>
    <definedName name="___obl15">#REF!</definedName>
    <definedName name="___obl16" localSheetId="4">#REF!</definedName>
    <definedName name="___obl16" localSheetId="5">#REF!</definedName>
    <definedName name="___obl16" localSheetId="3">#REF!</definedName>
    <definedName name="___obl16" localSheetId="7">#REF!</definedName>
    <definedName name="___obl16">#REF!</definedName>
    <definedName name="___obl17" localSheetId="4">#REF!</definedName>
    <definedName name="___obl17" localSheetId="5">#REF!</definedName>
    <definedName name="___obl17" localSheetId="3">#REF!</definedName>
    <definedName name="___obl17" localSheetId="7">#REF!</definedName>
    <definedName name="___obl17">#REF!</definedName>
    <definedName name="___obl1710" localSheetId="4">#REF!</definedName>
    <definedName name="___obl1710" localSheetId="5">#REF!</definedName>
    <definedName name="___obl1710" localSheetId="3">#REF!</definedName>
    <definedName name="___obl1710" localSheetId="7">#REF!</definedName>
    <definedName name="___obl1710">#REF!</definedName>
    <definedName name="___obl1711" localSheetId="4">#REF!</definedName>
    <definedName name="___obl1711" localSheetId="5">#REF!</definedName>
    <definedName name="___obl1711" localSheetId="3">#REF!</definedName>
    <definedName name="___obl1711" localSheetId="7">#REF!</definedName>
    <definedName name="___obl1711">#REF!</definedName>
    <definedName name="___obl1712" localSheetId="4">#REF!</definedName>
    <definedName name="___obl1712" localSheetId="5">#REF!</definedName>
    <definedName name="___obl1712" localSheetId="3">#REF!</definedName>
    <definedName name="___obl1712" localSheetId="7">#REF!</definedName>
    <definedName name="___obl1712">#REF!</definedName>
    <definedName name="___obl1713" localSheetId="4">#REF!</definedName>
    <definedName name="___obl1713" localSheetId="5">#REF!</definedName>
    <definedName name="___obl1713" localSheetId="3">#REF!</definedName>
    <definedName name="___obl1713" localSheetId="7">#REF!</definedName>
    <definedName name="___obl1713">#REF!</definedName>
    <definedName name="___obl1714" localSheetId="4">#REF!</definedName>
    <definedName name="___obl1714" localSheetId="5">#REF!</definedName>
    <definedName name="___obl1714" localSheetId="3">#REF!</definedName>
    <definedName name="___obl1714" localSheetId="7">#REF!</definedName>
    <definedName name="___obl1714">#REF!</definedName>
    <definedName name="___obl1715" localSheetId="4">#REF!</definedName>
    <definedName name="___obl1715" localSheetId="5">#REF!</definedName>
    <definedName name="___obl1715" localSheetId="3">#REF!</definedName>
    <definedName name="___obl1715" localSheetId="7">#REF!</definedName>
    <definedName name="___obl1715">#REF!</definedName>
    <definedName name="___obl1716" localSheetId="4">#REF!</definedName>
    <definedName name="___obl1716" localSheetId="5">#REF!</definedName>
    <definedName name="___obl1716" localSheetId="3">#REF!</definedName>
    <definedName name="___obl1716" localSheetId="7">#REF!</definedName>
    <definedName name="___obl1716">#REF!</definedName>
    <definedName name="___obl1717" localSheetId="4">#REF!</definedName>
    <definedName name="___obl1717" localSheetId="5">#REF!</definedName>
    <definedName name="___obl1717" localSheetId="3">#REF!</definedName>
    <definedName name="___obl1717" localSheetId="7">#REF!</definedName>
    <definedName name="___obl1717">#REF!</definedName>
    <definedName name="___obl1718" localSheetId="4">#REF!</definedName>
    <definedName name="___obl1718" localSheetId="5">#REF!</definedName>
    <definedName name="___obl1718" localSheetId="3">#REF!</definedName>
    <definedName name="___obl1718" localSheetId="7">#REF!</definedName>
    <definedName name="___obl1718">#REF!</definedName>
    <definedName name="___obl1719" localSheetId="4">#REF!</definedName>
    <definedName name="___obl1719" localSheetId="5">#REF!</definedName>
    <definedName name="___obl1719" localSheetId="3">#REF!</definedName>
    <definedName name="___obl1719" localSheetId="7">#REF!</definedName>
    <definedName name="___obl1719">#REF!</definedName>
    <definedName name="___obl173" localSheetId="4">#REF!</definedName>
    <definedName name="___obl173" localSheetId="5">#REF!</definedName>
    <definedName name="___obl173" localSheetId="3">#REF!</definedName>
    <definedName name="___obl173" localSheetId="7">#REF!</definedName>
    <definedName name="___obl173">#REF!</definedName>
    <definedName name="___obl174" localSheetId="4">#REF!</definedName>
    <definedName name="___obl174" localSheetId="5">#REF!</definedName>
    <definedName name="___obl174" localSheetId="3">#REF!</definedName>
    <definedName name="___obl174" localSheetId="7">#REF!</definedName>
    <definedName name="___obl174">#REF!</definedName>
    <definedName name="___obl175" localSheetId="4">#REF!</definedName>
    <definedName name="___obl175" localSheetId="5">#REF!</definedName>
    <definedName name="___obl175" localSheetId="3">#REF!</definedName>
    <definedName name="___obl175" localSheetId="7">#REF!</definedName>
    <definedName name="___obl175">#REF!</definedName>
    <definedName name="___obl176" localSheetId="4">#REF!</definedName>
    <definedName name="___obl176" localSheetId="5">#REF!</definedName>
    <definedName name="___obl176" localSheetId="3">#REF!</definedName>
    <definedName name="___obl176" localSheetId="7">#REF!</definedName>
    <definedName name="___obl176">#REF!</definedName>
    <definedName name="___obl177" localSheetId="4">#REF!</definedName>
    <definedName name="___obl177" localSheetId="5">#REF!</definedName>
    <definedName name="___obl177" localSheetId="3">#REF!</definedName>
    <definedName name="___obl177" localSheetId="7">#REF!</definedName>
    <definedName name="___obl177">#REF!</definedName>
    <definedName name="___obl178" localSheetId="4">#REF!</definedName>
    <definedName name="___obl178" localSheetId="5">#REF!</definedName>
    <definedName name="___obl178" localSheetId="3">#REF!</definedName>
    <definedName name="___obl178" localSheetId="7">#REF!</definedName>
    <definedName name="___obl178">#REF!</definedName>
    <definedName name="___obl179" localSheetId="4">#REF!</definedName>
    <definedName name="___obl179" localSheetId="5">#REF!</definedName>
    <definedName name="___obl179" localSheetId="3">#REF!</definedName>
    <definedName name="___obl179" localSheetId="7">#REF!</definedName>
    <definedName name="___obl179">#REF!</definedName>
    <definedName name="___obl18" localSheetId="4">#REF!</definedName>
    <definedName name="___obl18" localSheetId="5">#REF!</definedName>
    <definedName name="___obl18" localSheetId="3">#REF!</definedName>
    <definedName name="___obl18" localSheetId="7">#REF!</definedName>
    <definedName name="___obl18">#REF!</definedName>
    <definedName name="___obl181" localSheetId="4">#REF!</definedName>
    <definedName name="___obl181" localSheetId="5">#REF!</definedName>
    <definedName name="___obl181" localSheetId="3">#REF!</definedName>
    <definedName name="___obl181" localSheetId="7">#REF!</definedName>
    <definedName name="___obl181">#REF!</definedName>
    <definedName name="___obl1816" localSheetId="4">#REF!</definedName>
    <definedName name="___obl1816" localSheetId="5">#REF!</definedName>
    <definedName name="___obl1816" localSheetId="3">#REF!</definedName>
    <definedName name="___obl1816" localSheetId="7">#REF!</definedName>
    <definedName name="___obl1816">#REF!</definedName>
    <definedName name="___obl1820" localSheetId="4">#REF!</definedName>
    <definedName name="___obl1820" localSheetId="5">#REF!</definedName>
    <definedName name="___obl1820" localSheetId="3">#REF!</definedName>
    <definedName name="___obl1820" localSheetId="7">#REF!</definedName>
    <definedName name="___obl1820">#REF!</definedName>
    <definedName name="___obl1821" localSheetId="4">#REF!</definedName>
    <definedName name="___obl1821" localSheetId="5">#REF!</definedName>
    <definedName name="___obl1821" localSheetId="3">#REF!</definedName>
    <definedName name="___obl1821" localSheetId="7">#REF!</definedName>
    <definedName name="___obl1821">#REF!</definedName>
    <definedName name="___obl1822" localSheetId="4">#REF!</definedName>
    <definedName name="___obl1822" localSheetId="5">#REF!</definedName>
    <definedName name="___obl1822" localSheetId="3">#REF!</definedName>
    <definedName name="___obl1822" localSheetId="7">#REF!</definedName>
    <definedName name="___obl1822">#REF!</definedName>
    <definedName name="___obl1823" localSheetId="4">#REF!</definedName>
    <definedName name="___obl1823" localSheetId="5">#REF!</definedName>
    <definedName name="___obl1823" localSheetId="3">#REF!</definedName>
    <definedName name="___obl1823" localSheetId="7">#REF!</definedName>
    <definedName name="___obl1823">#REF!</definedName>
    <definedName name="___obl1824" localSheetId="4">#REF!</definedName>
    <definedName name="___obl1824" localSheetId="5">#REF!</definedName>
    <definedName name="___obl1824" localSheetId="3">#REF!</definedName>
    <definedName name="___obl1824" localSheetId="7">#REF!</definedName>
    <definedName name="___obl1824">#REF!</definedName>
    <definedName name="___obl1825" localSheetId="4">#REF!</definedName>
    <definedName name="___obl1825" localSheetId="5">#REF!</definedName>
    <definedName name="___obl1825" localSheetId="3">#REF!</definedName>
    <definedName name="___obl1825" localSheetId="7">#REF!</definedName>
    <definedName name="___obl1825">#REF!</definedName>
    <definedName name="___obl1826" localSheetId="4">#REF!</definedName>
    <definedName name="___obl1826" localSheetId="5">#REF!</definedName>
    <definedName name="___obl1826" localSheetId="3">#REF!</definedName>
    <definedName name="___obl1826" localSheetId="7">#REF!</definedName>
    <definedName name="___obl1826">#REF!</definedName>
    <definedName name="___obl1827" localSheetId="4">#REF!</definedName>
    <definedName name="___obl1827" localSheetId="5">#REF!</definedName>
    <definedName name="___obl1827" localSheetId="3">#REF!</definedName>
    <definedName name="___obl1827" localSheetId="7">#REF!</definedName>
    <definedName name="___obl1827">#REF!</definedName>
    <definedName name="___obl1828" localSheetId="4">#REF!</definedName>
    <definedName name="___obl1828" localSheetId="5">#REF!</definedName>
    <definedName name="___obl1828" localSheetId="3">#REF!</definedName>
    <definedName name="___obl1828" localSheetId="7">#REF!</definedName>
    <definedName name="___obl1828">#REF!</definedName>
    <definedName name="___obl1829" localSheetId="4">#REF!</definedName>
    <definedName name="___obl1829" localSheetId="5">#REF!</definedName>
    <definedName name="___obl1829" localSheetId="3">#REF!</definedName>
    <definedName name="___obl1829" localSheetId="7">#REF!</definedName>
    <definedName name="___obl1829">#REF!</definedName>
    <definedName name="___obl183" localSheetId="4">#REF!</definedName>
    <definedName name="___obl183" localSheetId="5">#REF!</definedName>
    <definedName name="___obl183" localSheetId="3">#REF!</definedName>
    <definedName name="___obl183" localSheetId="7">#REF!</definedName>
    <definedName name="___obl183">#REF!</definedName>
    <definedName name="___obl1831" localSheetId="4">#REF!</definedName>
    <definedName name="___obl1831" localSheetId="5">#REF!</definedName>
    <definedName name="___obl1831" localSheetId="3">#REF!</definedName>
    <definedName name="___obl1831" localSheetId="7">#REF!</definedName>
    <definedName name="___obl1831">#REF!</definedName>
    <definedName name="___obl1832" localSheetId="4">#REF!</definedName>
    <definedName name="___obl1832" localSheetId="5">#REF!</definedName>
    <definedName name="___obl1832" localSheetId="3">#REF!</definedName>
    <definedName name="___obl1832" localSheetId="7">#REF!</definedName>
    <definedName name="___obl1832">#REF!</definedName>
    <definedName name="___obl184" localSheetId="4">#REF!</definedName>
    <definedName name="___obl184" localSheetId="5">#REF!</definedName>
    <definedName name="___obl184" localSheetId="3">#REF!</definedName>
    <definedName name="___obl184" localSheetId="7">#REF!</definedName>
    <definedName name="___obl184">#REF!</definedName>
    <definedName name="___obl185" localSheetId="4">#REF!</definedName>
    <definedName name="___obl185" localSheetId="5">#REF!</definedName>
    <definedName name="___obl185" localSheetId="3">#REF!</definedName>
    <definedName name="___obl185" localSheetId="7">#REF!</definedName>
    <definedName name="___obl185">#REF!</definedName>
    <definedName name="___obl186" localSheetId="4">#REF!</definedName>
    <definedName name="___obl186" localSheetId="5">#REF!</definedName>
    <definedName name="___obl186" localSheetId="3">#REF!</definedName>
    <definedName name="___obl186" localSheetId="7">#REF!</definedName>
    <definedName name="___obl186">#REF!</definedName>
    <definedName name="___obl187" localSheetId="4">#REF!</definedName>
    <definedName name="___obl187" localSheetId="5">#REF!</definedName>
    <definedName name="___obl187" localSheetId="3">#REF!</definedName>
    <definedName name="___obl187" localSheetId="7">#REF!</definedName>
    <definedName name="___obl187">#REF!</definedName>
    <definedName name="__obl11" localSheetId="0">#REF!</definedName>
    <definedName name="__obl11">#REF!</definedName>
    <definedName name="__obl12" localSheetId="0">#REF!</definedName>
    <definedName name="__obl12">#REF!</definedName>
    <definedName name="__obl13" localSheetId="0">#REF!</definedName>
    <definedName name="__obl13">#REF!</definedName>
    <definedName name="__obl14" localSheetId="0">#REF!</definedName>
    <definedName name="__obl14">#REF!</definedName>
    <definedName name="__obl15" localSheetId="0">#REF!</definedName>
    <definedName name="__obl15">#REF!</definedName>
    <definedName name="__obl16" localSheetId="0">#REF!</definedName>
    <definedName name="__obl16">#REF!</definedName>
    <definedName name="__obl17" localSheetId="0">#REF!</definedName>
    <definedName name="__obl17">#REF!</definedName>
    <definedName name="__obl1710" localSheetId="0">#REF!</definedName>
    <definedName name="__obl1710">#REF!</definedName>
    <definedName name="__obl1711" localSheetId="0">#REF!</definedName>
    <definedName name="__obl1711">#REF!</definedName>
    <definedName name="__obl1712" localSheetId="0">#REF!</definedName>
    <definedName name="__obl1712">#REF!</definedName>
    <definedName name="__obl1713" localSheetId="0">#REF!</definedName>
    <definedName name="__obl1713">#REF!</definedName>
    <definedName name="__obl1714" localSheetId="0">#REF!</definedName>
    <definedName name="__obl1714">#REF!</definedName>
    <definedName name="__obl1715" localSheetId="0">#REF!</definedName>
    <definedName name="__obl1715">#REF!</definedName>
    <definedName name="__obl1716" localSheetId="0">#REF!</definedName>
    <definedName name="__obl1716">#REF!</definedName>
    <definedName name="__obl1717" localSheetId="0">#REF!</definedName>
    <definedName name="__obl1717">#REF!</definedName>
    <definedName name="__obl1718" localSheetId="0">#REF!</definedName>
    <definedName name="__obl1718">#REF!</definedName>
    <definedName name="__obl1719" localSheetId="0">#REF!</definedName>
    <definedName name="__obl1719">#REF!</definedName>
    <definedName name="__obl173" localSheetId="0">#REF!</definedName>
    <definedName name="__obl173">#REF!</definedName>
    <definedName name="__obl174" localSheetId="0">#REF!</definedName>
    <definedName name="__obl174">#REF!</definedName>
    <definedName name="__obl175" localSheetId="0">#REF!</definedName>
    <definedName name="__obl175">#REF!</definedName>
    <definedName name="__obl176" localSheetId="0">#REF!</definedName>
    <definedName name="__obl176">#REF!</definedName>
    <definedName name="__obl177" localSheetId="0">#REF!</definedName>
    <definedName name="__obl177">#REF!</definedName>
    <definedName name="__obl178" localSheetId="0">#REF!</definedName>
    <definedName name="__obl178">#REF!</definedName>
    <definedName name="__obl179" localSheetId="0">#REF!</definedName>
    <definedName name="__obl179">#REF!</definedName>
    <definedName name="__obl18" localSheetId="0">#REF!</definedName>
    <definedName name="__obl18">#REF!</definedName>
    <definedName name="__obl181" localSheetId="0">#REF!</definedName>
    <definedName name="__obl181">#REF!</definedName>
    <definedName name="__obl1816" localSheetId="0">#REF!</definedName>
    <definedName name="__obl1816">#REF!</definedName>
    <definedName name="__obl1820" localSheetId="0">#REF!</definedName>
    <definedName name="__obl1820">#REF!</definedName>
    <definedName name="__obl1821" localSheetId="0">#REF!</definedName>
    <definedName name="__obl1821">#REF!</definedName>
    <definedName name="__obl1822" localSheetId="0">#REF!</definedName>
    <definedName name="__obl1822">#REF!</definedName>
    <definedName name="__obl1823" localSheetId="0">#REF!</definedName>
    <definedName name="__obl1823">#REF!</definedName>
    <definedName name="__obl1824" localSheetId="0">#REF!</definedName>
    <definedName name="__obl1824">#REF!</definedName>
    <definedName name="__obl1825" localSheetId="0">#REF!</definedName>
    <definedName name="__obl1825">#REF!</definedName>
    <definedName name="__obl1826" localSheetId="0">#REF!</definedName>
    <definedName name="__obl1826">#REF!</definedName>
    <definedName name="__obl1827" localSheetId="0">#REF!</definedName>
    <definedName name="__obl1827">#REF!</definedName>
    <definedName name="__obl1828" localSheetId="0">#REF!</definedName>
    <definedName name="__obl1828">#REF!</definedName>
    <definedName name="__obl1829" localSheetId="0">#REF!</definedName>
    <definedName name="__obl1829">#REF!</definedName>
    <definedName name="__obl183" localSheetId="0">#REF!</definedName>
    <definedName name="__obl183">#REF!</definedName>
    <definedName name="__obl1831" localSheetId="0">#REF!</definedName>
    <definedName name="__obl1831">#REF!</definedName>
    <definedName name="__obl1832" localSheetId="0">#REF!</definedName>
    <definedName name="__obl1832">#REF!</definedName>
    <definedName name="__obl184" localSheetId="0">#REF!</definedName>
    <definedName name="__obl184">#REF!</definedName>
    <definedName name="__obl185" localSheetId="0">#REF!</definedName>
    <definedName name="__obl185">#REF!</definedName>
    <definedName name="__obl186" localSheetId="0">#REF!</definedName>
    <definedName name="__obl186">#REF!</definedName>
    <definedName name="__obl187" localSheetId="0">#REF!</definedName>
    <definedName name="__obl187">#REF!</definedName>
    <definedName name="_obl11" localSheetId="2">#REF!</definedName>
    <definedName name="_obl11" localSheetId="4">#REF!</definedName>
    <definedName name="_obl11" localSheetId="5">#REF!</definedName>
    <definedName name="_obl11" localSheetId="3">#REF!</definedName>
    <definedName name="_obl11" localSheetId="7">#REF!</definedName>
    <definedName name="_obl11" localSheetId="6">#REF!</definedName>
    <definedName name="_obl11" localSheetId="8">#REF!</definedName>
    <definedName name="_obl11">#REF!</definedName>
    <definedName name="_obl112">#REF!</definedName>
    <definedName name="_obl12" localSheetId="2">#REF!</definedName>
    <definedName name="_obl12" localSheetId="4">#REF!</definedName>
    <definedName name="_obl12" localSheetId="5">#REF!</definedName>
    <definedName name="_obl12" localSheetId="3">#REF!</definedName>
    <definedName name="_obl12" localSheetId="7">#REF!</definedName>
    <definedName name="_obl12" localSheetId="6">#REF!</definedName>
    <definedName name="_obl12" localSheetId="8">#REF!</definedName>
    <definedName name="_obl12">#REF!</definedName>
    <definedName name="_obl13" localSheetId="2">#REF!</definedName>
    <definedName name="_obl13" localSheetId="4">#REF!</definedName>
    <definedName name="_obl13" localSheetId="5">#REF!</definedName>
    <definedName name="_obl13" localSheetId="3">#REF!</definedName>
    <definedName name="_obl13" localSheetId="7">#REF!</definedName>
    <definedName name="_obl13" localSheetId="6">#REF!</definedName>
    <definedName name="_obl13" localSheetId="8">#REF!</definedName>
    <definedName name="_obl13">#REF!</definedName>
    <definedName name="_obl14" localSheetId="2">#REF!</definedName>
    <definedName name="_obl14" localSheetId="4">#REF!</definedName>
    <definedName name="_obl14" localSheetId="5">#REF!</definedName>
    <definedName name="_obl14" localSheetId="3">#REF!</definedName>
    <definedName name="_obl14" localSheetId="7">#REF!</definedName>
    <definedName name="_obl14" localSheetId="6">#REF!</definedName>
    <definedName name="_obl14" localSheetId="8">#REF!</definedName>
    <definedName name="_obl14">#REF!</definedName>
    <definedName name="_obl15" localSheetId="2">#REF!</definedName>
    <definedName name="_obl15" localSheetId="4">#REF!</definedName>
    <definedName name="_obl15" localSheetId="5">#REF!</definedName>
    <definedName name="_obl15" localSheetId="3">#REF!</definedName>
    <definedName name="_obl15" localSheetId="7">#REF!</definedName>
    <definedName name="_obl15" localSheetId="6">#REF!</definedName>
    <definedName name="_obl15" localSheetId="8">#REF!</definedName>
    <definedName name="_obl15">#REF!</definedName>
    <definedName name="_obl16" localSheetId="2">#REF!</definedName>
    <definedName name="_obl16" localSheetId="4">#REF!</definedName>
    <definedName name="_obl16" localSheetId="5">#REF!</definedName>
    <definedName name="_obl16" localSheetId="3">#REF!</definedName>
    <definedName name="_obl16" localSheetId="7">#REF!</definedName>
    <definedName name="_obl16" localSheetId="6">#REF!</definedName>
    <definedName name="_obl16" localSheetId="8">#REF!</definedName>
    <definedName name="_obl16">#REF!</definedName>
    <definedName name="_obl17" localSheetId="2">#REF!</definedName>
    <definedName name="_obl17" localSheetId="4">#REF!</definedName>
    <definedName name="_obl17" localSheetId="5">#REF!</definedName>
    <definedName name="_obl17" localSheetId="3">#REF!</definedName>
    <definedName name="_obl17" localSheetId="7">#REF!</definedName>
    <definedName name="_obl17" localSheetId="6">#REF!</definedName>
    <definedName name="_obl17" localSheetId="8">#REF!</definedName>
    <definedName name="_obl17">#REF!</definedName>
    <definedName name="_obl1710" localSheetId="2">#REF!</definedName>
    <definedName name="_obl1710" localSheetId="4">#REF!</definedName>
    <definedName name="_obl1710" localSheetId="5">#REF!</definedName>
    <definedName name="_obl1710" localSheetId="3">#REF!</definedName>
    <definedName name="_obl1710" localSheetId="7">#REF!</definedName>
    <definedName name="_obl1710" localSheetId="6">#REF!</definedName>
    <definedName name="_obl1710" localSheetId="8">#REF!</definedName>
    <definedName name="_obl1710">#REF!</definedName>
    <definedName name="_obl1711" localSheetId="2">#REF!</definedName>
    <definedName name="_obl1711" localSheetId="4">#REF!</definedName>
    <definedName name="_obl1711" localSheetId="5">#REF!</definedName>
    <definedName name="_obl1711" localSheetId="3">#REF!</definedName>
    <definedName name="_obl1711" localSheetId="7">#REF!</definedName>
    <definedName name="_obl1711" localSheetId="6">#REF!</definedName>
    <definedName name="_obl1711" localSheetId="8">#REF!</definedName>
    <definedName name="_obl1711">#REF!</definedName>
    <definedName name="_obl1712" localSheetId="2">#REF!</definedName>
    <definedName name="_obl1712" localSheetId="4">#REF!</definedName>
    <definedName name="_obl1712" localSheetId="5">#REF!</definedName>
    <definedName name="_obl1712" localSheetId="3">#REF!</definedName>
    <definedName name="_obl1712" localSheetId="7">#REF!</definedName>
    <definedName name="_obl1712" localSheetId="6">#REF!</definedName>
    <definedName name="_obl1712" localSheetId="8">#REF!</definedName>
    <definedName name="_obl1712">#REF!</definedName>
    <definedName name="_obl1713" localSheetId="2">#REF!</definedName>
    <definedName name="_obl1713" localSheetId="4">#REF!</definedName>
    <definedName name="_obl1713" localSheetId="5">#REF!</definedName>
    <definedName name="_obl1713" localSheetId="3">#REF!</definedName>
    <definedName name="_obl1713" localSheetId="7">#REF!</definedName>
    <definedName name="_obl1713" localSheetId="6">#REF!</definedName>
    <definedName name="_obl1713" localSheetId="8">#REF!</definedName>
    <definedName name="_obl1713">#REF!</definedName>
    <definedName name="_obl1714" localSheetId="2">#REF!</definedName>
    <definedName name="_obl1714" localSheetId="4">#REF!</definedName>
    <definedName name="_obl1714" localSheetId="5">#REF!</definedName>
    <definedName name="_obl1714" localSheetId="3">#REF!</definedName>
    <definedName name="_obl1714" localSheetId="7">#REF!</definedName>
    <definedName name="_obl1714" localSheetId="6">#REF!</definedName>
    <definedName name="_obl1714" localSheetId="8">#REF!</definedName>
    <definedName name="_obl1714">#REF!</definedName>
    <definedName name="_obl1715" localSheetId="2">#REF!</definedName>
    <definedName name="_obl1715" localSheetId="4">#REF!</definedName>
    <definedName name="_obl1715" localSheetId="5">#REF!</definedName>
    <definedName name="_obl1715" localSheetId="3">#REF!</definedName>
    <definedName name="_obl1715" localSheetId="7">#REF!</definedName>
    <definedName name="_obl1715" localSheetId="6">#REF!</definedName>
    <definedName name="_obl1715" localSheetId="8">#REF!</definedName>
    <definedName name="_obl1715">#REF!</definedName>
    <definedName name="_obl1716" localSheetId="2">#REF!</definedName>
    <definedName name="_obl1716" localSheetId="4">#REF!</definedName>
    <definedName name="_obl1716" localSheetId="5">#REF!</definedName>
    <definedName name="_obl1716" localSheetId="3">#REF!</definedName>
    <definedName name="_obl1716" localSheetId="7">#REF!</definedName>
    <definedName name="_obl1716" localSheetId="6">#REF!</definedName>
    <definedName name="_obl1716" localSheetId="8">#REF!</definedName>
    <definedName name="_obl1716">#REF!</definedName>
    <definedName name="_obl1717" localSheetId="2">#REF!</definedName>
    <definedName name="_obl1717" localSheetId="4">#REF!</definedName>
    <definedName name="_obl1717" localSheetId="5">#REF!</definedName>
    <definedName name="_obl1717" localSheetId="3">#REF!</definedName>
    <definedName name="_obl1717" localSheetId="7">#REF!</definedName>
    <definedName name="_obl1717" localSheetId="6">#REF!</definedName>
    <definedName name="_obl1717" localSheetId="8">#REF!</definedName>
    <definedName name="_obl1717">#REF!</definedName>
    <definedName name="_obl1718" localSheetId="2">#REF!</definedName>
    <definedName name="_obl1718" localSheetId="4">#REF!</definedName>
    <definedName name="_obl1718" localSheetId="5">#REF!</definedName>
    <definedName name="_obl1718" localSheetId="3">#REF!</definedName>
    <definedName name="_obl1718" localSheetId="7">#REF!</definedName>
    <definedName name="_obl1718" localSheetId="6">#REF!</definedName>
    <definedName name="_obl1718" localSheetId="8">#REF!</definedName>
    <definedName name="_obl1718">#REF!</definedName>
    <definedName name="_obl1719" localSheetId="2">#REF!</definedName>
    <definedName name="_obl1719" localSheetId="4">#REF!</definedName>
    <definedName name="_obl1719" localSheetId="5">#REF!</definedName>
    <definedName name="_obl1719" localSheetId="3">#REF!</definedName>
    <definedName name="_obl1719" localSheetId="7">#REF!</definedName>
    <definedName name="_obl1719" localSheetId="6">#REF!</definedName>
    <definedName name="_obl1719" localSheetId="8">#REF!</definedName>
    <definedName name="_obl1719">#REF!</definedName>
    <definedName name="_obl173" localSheetId="2">#REF!</definedName>
    <definedName name="_obl173" localSheetId="4">#REF!</definedName>
    <definedName name="_obl173" localSheetId="5">#REF!</definedName>
    <definedName name="_obl173" localSheetId="3">#REF!</definedName>
    <definedName name="_obl173" localSheetId="7">#REF!</definedName>
    <definedName name="_obl173" localSheetId="6">#REF!</definedName>
    <definedName name="_obl173" localSheetId="8">#REF!</definedName>
    <definedName name="_obl173">#REF!</definedName>
    <definedName name="_obl174" localSheetId="2">#REF!</definedName>
    <definedName name="_obl174" localSheetId="4">#REF!</definedName>
    <definedName name="_obl174" localSheetId="5">#REF!</definedName>
    <definedName name="_obl174" localSheetId="3">#REF!</definedName>
    <definedName name="_obl174" localSheetId="7">#REF!</definedName>
    <definedName name="_obl174" localSheetId="6">#REF!</definedName>
    <definedName name="_obl174" localSheetId="8">#REF!</definedName>
    <definedName name="_obl174">#REF!</definedName>
    <definedName name="_obl175" localSheetId="2">#REF!</definedName>
    <definedName name="_obl175" localSheetId="4">#REF!</definedName>
    <definedName name="_obl175" localSheetId="5">#REF!</definedName>
    <definedName name="_obl175" localSheetId="3">#REF!</definedName>
    <definedName name="_obl175" localSheetId="7">#REF!</definedName>
    <definedName name="_obl175" localSheetId="6">#REF!</definedName>
    <definedName name="_obl175" localSheetId="8">#REF!</definedName>
    <definedName name="_obl175">#REF!</definedName>
    <definedName name="_obl176" localSheetId="2">#REF!</definedName>
    <definedName name="_obl176" localSheetId="4">#REF!</definedName>
    <definedName name="_obl176" localSheetId="5">#REF!</definedName>
    <definedName name="_obl176" localSheetId="3">#REF!</definedName>
    <definedName name="_obl176" localSheetId="7">#REF!</definedName>
    <definedName name="_obl176" localSheetId="6">#REF!</definedName>
    <definedName name="_obl176" localSheetId="8">#REF!</definedName>
    <definedName name="_obl176">#REF!</definedName>
    <definedName name="_obl177" localSheetId="2">#REF!</definedName>
    <definedName name="_obl177" localSheetId="4">#REF!</definedName>
    <definedName name="_obl177" localSheetId="5">#REF!</definedName>
    <definedName name="_obl177" localSheetId="3">#REF!</definedName>
    <definedName name="_obl177" localSheetId="7">#REF!</definedName>
    <definedName name="_obl177" localSheetId="6">#REF!</definedName>
    <definedName name="_obl177" localSheetId="8">#REF!</definedName>
    <definedName name="_obl177">#REF!</definedName>
    <definedName name="_obl178" localSheetId="2">#REF!</definedName>
    <definedName name="_obl178" localSheetId="4">#REF!</definedName>
    <definedName name="_obl178" localSheetId="5">#REF!</definedName>
    <definedName name="_obl178" localSheetId="3">#REF!</definedName>
    <definedName name="_obl178" localSheetId="7">#REF!</definedName>
    <definedName name="_obl178" localSheetId="6">#REF!</definedName>
    <definedName name="_obl178" localSheetId="8">#REF!</definedName>
    <definedName name="_obl178">#REF!</definedName>
    <definedName name="_obl179" localSheetId="2">#REF!</definedName>
    <definedName name="_obl179" localSheetId="4">#REF!</definedName>
    <definedName name="_obl179" localSheetId="5">#REF!</definedName>
    <definedName name="_obl179" localSheetId="3">#REF!</definedName>
    <definedName name="_obl179" localSheetId="7">#REF!</definedName>
    <definedName name="_obl179" localSheetId="6">#REF!</definedName>
    <definedName name="_obl179" localSheetId="8">#REF!</definedName>
    <definedName name="_obl179">#REF!</definedName>
    <definedName name="_obl18" localSheetId="2">#REF!</definedName>
    <definedName name="_obl18" localSheetId="4">#REF!</definedName>
    <definedName name="_obl18" localSheetId="5">#REF!</definedName>
    <definedName name="_obl18" localSheetId="3">#REF!</definedName>
    <definedName name="_obl18" localSheetId="7">#REF!</definedName>
    <definedName name="_obl18" localSheetId="6">#REF!</definedName>
    <definedName name="_obl18" localSheetId="8">#REF!</definedName>
    <definedName name="_obl18">#REF!</definedName>
    <definedName name="_obl181" localSheetId="2">#REF!</definedName>
    <definedName name="_obl181" localSheetId="4">#REF!</definedName>
    <definedName name="_obl181" localSheetId="5">#REF!</definedName>
    <definedName name="_obl181" localSheetId="3">#REF!</definedName>
    <definedName name="_obl181" localSheetId="7">#REF!</definedName>
    <definedName name="_obl181" localSheetId="6">#REF!</definedName>
    <definedName name="_obl181" localSheetId="8">#REF!</definedName>
    <definedName name="_obl181">#REF!</definedName>
    <definedName name="_obl1816" localSheetId="2">#REF!</definedName>
    <definedName name="_obl1816" localSheetId="4">#REF!</definedName>
    <definedName name="_obl1816" localSheetId="5">#REF!</definedName>
    <definedName name="_obl1816" localSheetId="3">#REF!</definedName>
    <definedName name="_obl1816" localSheetId="7">#REF!</definedName>
    <definedName name="_obl1816" localSheetId="6">#REF!</definedName>
    <definedName name="_obl1816" localSheetId="8">#REF!</definedName>
    <definedName name="_obl1816">#REF!</definedName>
    <definedName name="_obl1820" localSheetId="2">#REF!</definedName>
    <definedName name="_obl1820" localSheetId="4">#REF!</definedName>
    <definedName name="_obl1820" localSheetId="5">#REF!</definedName>
    <definedName name="_obl1820" localSheetId="3">#REF!</definedName>
    <definedName name="_obl1820" localSheetId="7">#REF!</definedName>
    <definedName name="_obl1820" localSheetId="6">#REF!</definedName>
    <definedName name="_obl1820" localSheetId="8">#REF!</definedName>
    <definedName name="_obl1820">#REF!</definedName>
    <definedName name="_obl1821" localSheetId="2">#REF!</definedName>
    <definedName name="_obl1821" localSheetId="4">#REF!</definedName>
    <definedName name="_obl1821" localSheetId="5">#REF!</definedName>
    <definedName name="_obl1821" localSheetId="3">#REF!</definedName>
    <definedName name="_obl1821" localSheetId="7">#REF!</definedName>
    <definedName name="_obl1821" localSheetId="6">#REF!</definedName>
    <definedName name="_obl1821" localSheetId="8">#REF!</definedName>
    <definedName name="_obl1821">#REF!</definedName>
    <definedName name="_obl1822" localSheetId="2">#REF!</definedName>
    <definedName name="_obl1822" localSheetId="4">#REF!</definedName>
    <definedName name="_obl1822" localSheetId="5">#REF!</definedName>
    <definedName name="_obl1822" localSheetId="3">#REF!</definedName>
    <definedName name="_obl1822" localSheetId="7">#REF!</definedName>
    <definedName name="_obl1822" localSheetId="6">#REF!</definedName>
    <definedName name="_obl1822" localSheetId="8">#REF!</definedName>
    <definedName name="_obl1822">#REF!</definedName>
    <definedName name="_obl1823" localSheetId="2">#REF!</definedName>
    <definedName name="_obl1823" localSheetId="4">#REF!</definedName>
    <definedName name="_obl1823" localSheetId="5">#REF!</definedName>
    <definedName name="_obl1823" localSheetId="3">#REF!</definedName>
    <definedName name="_obl1823" localSheetId="7">#REF!</definedName>
    <definedName name="_obl1823" localSheetId="6">#REF!</definedName>
    <definedName name="_obl1823" localSheetId="8">#REF!</definedName>
    <definedName name="_obl1823">#REF!</definedName>
    <definedName name="_obl1824" localSheetId="2">#REF!</definedName>
    <definedName name="_obl1824" localSheetId="4">#REF!</definedName>
    <definedName name="_obl1824" localSheetId="5">#REF!</definedName>
    <definedName name="_obl1824" localSheetId="3">#REF!</definedName>
    <definedName name="_obl1824" localSheetId="7">#REF!</definedName>
    <definedName name="_obl1824" localSheetId="6">#REF!</definedName>
    <definedName name="_obl1824" localSheetId="8">#REF!</definedName>
    <definedName name="_obl1824">#REF!</definedName>
    <definedName name="_obl1825" localSheetId="2">#REF!</definedName>
    <definedName name="_obl1825" localSheetId="4">#REF!</definedName>
    <definedName name="_obl1825" localSheetId="5">#REF!</definedName>
    <definedName name="_obl1825" localSheetId="3">#REF!</definedName>
    <definedName name="_obl1825" localSheetId="7">#REF!</definedName>
    <definedName name="_obl1825" localSheetId="6">#REF!</definedName>
    <definedName name="_obl1825" localSheetId="8">#REF!</definedName>
    <definedName name="_obl1825">#REF!</definedName>
    <definedName name="_obl1826" localSheetId="2">#REF!</definedName>
    <definedName name="_obl1826" localSheetId="4">#REF!</definedName>
    <definedName name="_obl1826" localSheetId="5">#REF!</definedName>
    <definedName name="_obl1826" localSheetId="3">#REF!</definedName>
    <definedName name="_obl1826" localSheetId="7">#REF!</definedName>
    <definedName name="_obl1826" localSheetId="6">#REF!</definedName>
    <definedName name="_obl1826" localSheetId="8">#REF!</definedName>
    <definedName name="_obl1826">#REF!</definedName>
    <definedName name="_obl1827" localSheetId="2">#REF!</definedName>
    <definedName name="_obl1827" localSheetId="4">#REF!</definedName>
    <definedName name="_obl1827" localSheetId="5">#REF!</definedName>
    <definedName name="_obl1827" localSheetId="3">#REF!</definedName>
    <definedName name="_obl1827" localSheetId="7">#REF!</definedName>
    <definedName name="_obl1827" localSheetId="6">#REF!</definedName>
    <definedName name="_obl1827" localSheetId="8">#REF!</definedName>
    <definedName name="_obl1827">#REF!</definedName>
    <definedName name="_obl1828" localSheetId="2">#REF!</definedName>
    <definedName name="_obl1828" localSheetId="4">#REF!</definedName>
    <definedName name="_obl1828" localSheetId="5">#REF!</definedName>
    <definedName name="_obl1828" localSheetId="3">#REF!</definedName>
    <definedName name="_obl1828" localSheetId="7">#REF!</definedName>
    <definedName name="_obl1828" localSheetId="6">#REF!</definedName>
    <definedName name="_obl1828" localSheetId="8">#REF!</definedName>
    <definedName name="_obl1828">#REF!</definedName>
    <definedName name="_obl1829" localSheetId="2">#REF!</definedName>
    <definedName name="_obl1829" localSheetId="4">#REF!</definedName>
    <definedName name="_obl1829" localSheetId="5">#REF!</definedName>
    <definedName name="_obl1829" localSheetId="3">#REF!</definedName>
    <definedName name="_obl1829" localSheetId="7">#REF!</definedName>
    <definedName name="_obl1829" localSheetId="6">#REF!</definedName>
    <definedName name="_obl1829" localSheetId="8">#REF!</definedName>
    <definedName name="_obl1829">#REF!</definedName>
    <definedName name="_obl183" localSheetId="2">#REF!</definedName>
    <definedName name="_obl183" localSheetId="4">#REF!</definedName>
    <definedName name="_obl183" localSheetId="5">#REF!</definedName>
    <definedName name="_obl183" localSheetId="3">#REF!</definedName>
    <definedName name="_obl183" localSheetId="7">#REF!</definedName>
    <definedName name="_obl183" localSheetId="6">#REF!</definedName>
    <definedName name="_obl183" localSheetId="8">#REF!</definedName>
    <definedName name="_obl183">#REF!</definedName>
    <definedName name="_obl1831" localSheetId="2">#REF!</definedName>
    <definedName name="_obl1831" localSheetId="4">#REF!</definedName>
    <definedName name="_obl1831" localSheetId="5">#REF!</definedName>
    <definedName name="_obl1831" localSheetId="3">#REF!</definedName>
    <definedName name="_obl1831" localSheetId="7">#REF!</definedName>
    <definedName name="_obl1831" localSheetId="6">#REF!</definedName>
    <definedName name="_obl1831" localSheetId="8">#REF!</definedName>
    <definedName name="_obl1831">#REF!</definedName>
    <definedName name="_obl1832" localSheetId="2">#REF!</definedName>
    <definedName name="_obl1832" localSheetId="4">#REF!</definedName>
    <definedName name="_obl1832" localSheetId="5">#REF!</definedName>
    <definedName name="_obl1832" localSheetId="3">#REF!</definedName>
    <definedName name="_obl1832" localSheetId="7">#REF!</definedName>
    <definedName name="_obl1832" localSheetId="6">#REF!</definedName>
    <definedName name="_obl1832" localSheetId="8">#REF!</definedName>
    <definedName name="_obl1832">#REF!</definedName>
    <definedName name="_obl184" localSheetId="2">#REF!</definedName>
    <definedName name="_obl184" localSheetId="4">#REF!</definedName>
    <definedName name="_obl184" localSheetId="5">#REF!</definedName>
    <definedName name="_obl184" localSheetId="3">#REF!</definedName>
    <definedName name="_obl184" localSheetId="7">#REF!</definedName>
    <definedName name="_obl184" localSheetId="6">#REF!</definedName>
    <definedName name="_obl184" localSheetId="8">#REF!</definedName>
    <definedName name="_obl184">#REF!</definedName>
    <definedName name="_obl185" localSheetId="2">#REF!</definedName>
    <definedName name="_obl185" localSheetId="4">#REF!</definedName>
    <definedName name="_obl185" localSheetId="5">#REF!</definedName>
    <definedName name="_obl185" localSheetId="3">#REF!</definedName>
    <definedName name="_obl185" localSheetId="7">#REF!</definedName>
    <definedName name="_obl185" localSheetId="6">#REF!</definedName>
    <definedName name="_obl185" localSheetId="8">#REF!</definedName>
    <definedName name="_obl185">#REF!</definedName>
    <definedName name="_obl186" localSheetId="2">#REF!</definedName>
    <definedName name="_obl186" localSheetId="4">#REF!</definedName>
    <definedName name="_obl186" localSheetId="5">#REF!</definedName>
    <definedName name="_obl186" localSheetId="3">#REF!</definedName>
    <definedName name="_obl186" localSheetId="7">#REF!</definedName>
    <definedName name="_obl186" localSheetId="6">#REF!</definedName>
    <definedName name="_obl186" localSheetId="8">#REF!</definedName>
    <definedName name="_obl186">#REF!</definedName>
    <definedName name="_obl187" localSheetId="2">#REF!</definedName>
    <definedName name="_obl187" localSheetId="4">#REF!</definedName>
    <definedName name="_obl187" localSheetId="5">#REF!</definedName>
    <definedName name="_obl187" localSheetId="3">#REF!</definedName>
    <definedName name="_obl187" localSheetId="7">#REF!</definedName>
    <definedName name="_obl187" localSheetId="6">#REF!</definedName>
    <definedName name="_obl187" localSheetId="8">#REF!</definedName>
    <definedName name="_obl187">#REF!</definedName>
    <definedName name="_SO16" localSheetId="2" hidden="1">{#N/A,#N/A,TRUE,"Krycí list"}</definedName>
    <definedName name="_SO16" localSheetId="4" hidden="1">{#N/A,#N/A,TRUE,"Krycí list"}</definedName>
    <definedName name="_SO16" localSheetId="5" hidden="1">{#N/A,#N/A,TRUE,"Krycí list"}</definedName>
    <definedName name="_SO16" localSheetId="3" hidden="1">{#N/A,#N/A,TRUE,"Krycí list"}</definedName>
    <definedName name="_SO16" localSheetId="7" hidden="1">{#N/A,#N/A,TRUE,"Krycí list"}</definedName>
    <definedName name="_SO16" localSheetId="6" hidden="1">{#N/A,#N/A,TRUE,"Krycí list"}</definedName>
    <definedName name="_SO16" localSheetId="8" hidden="1">{#N/A,#N/A,TRUE,"Krycí list"}</definedName>
    <definedName name="_SO16" localSheetId="0" hidden="1">{#N/A,#N/A,TRUE,"Krycí list"}</definedName>
    <definedName name="_SO16" localSheetId="1" hidden="1">{#N/A,#N/A,TRUE,"Krycí list"}</definedName>
    <definedName name="_SO16" localSheetId="9" hidden="1">{#N/A,#N/A,TRUE,"Krycí list"}</definedName>
    <definedName name="_SO16" hidden="1">{#N/A,#N/A,TRUE,"Krycí list"}</definedName>
    <definedName name="_VZT1" localSheetId="2">Scheduled_Payment+Extra_Payment</definedName>
    <definedName name="_VZT1" localSheetId="4">Scheduled_Payment+Extra_Payment</definedName>
    <definedName name="_VZT1" localSheetId="5">Scheduled_Payment+Extra_Payment</definedName>
    <definedName name="_VZT1" localSheetId="3">Scheduled_Payment+Extra_Payment</definedName>
    <definedName name="_VZT1" localSheetId="7">Scheduled_Payment+Extra_Payment</definedName>
    <definedName name="_VZT1" localSheetId="6">Scheduled_Payment+Extra_Payment</definedName>
    <definedName name="_VZT1" localSheetId="8">Scheduled_Payment+Extra_Payment</definedName>
    <definedName name="_VZT1" localSheetId="0">Scheduled_Payment+Extra_Payment</definedName>
    <definedName name="_VZT1" localSheetId="1">Scheduled_Payment+Extra_Payment</definedName>
    <definedName name="_VZT1" localSheetId="9">Scheduled_Payment+Extra_Payment</definedName>
    <definedName name="_VZT1">Scheduled_Payment+Extra_Payment</definedName>
    <definedName name="_VZT2" localSheetId="2">DATE(YEAR([1]!Loan_Start),MONTH([1]!Loan_Start)+Payment_Number,DAY([1]!Loan_Start))</definedName>
    <definedName name="_VZT2" localSheetId="4">DATE(YEAR('1 - ODPOJENÍ OD KANALIZACE'!Loan_Start),MONTH('1 - ODPOJENÍ OD KANALIZACE'!Loan_Start)+Payment_Number,DAY('1 - ODPOJENÍ OD KANALIZACE'!Loan_Start))</definedName>
    <definedName name="_VZT2" localSheetId="5">DATE(YEAR([1]!Loan_Start),MONTH([1]!Loan_Start)+Payment_Number,DAY([1]!Loan_Start))</definedName>
    <definedName name="_VZT2" localSheetId="3">DATE(YEAR('1 - ODPOJENÍ OD VODOVODU'!Loan_Start),MONTH('1 - ODPOJENÍ OD VODOVODU'!Loan_Start)+Payment_Number,DAY('1 - ODPOJENÍ OD VODOVODU'!Loan_Start))</definedName>
    <definedName name="_VZT2" localSheetId="7">DATE(YEAR([1]!Loan_Start),MONTH([1]!Loan_Start)+Payment_Number,DAY([1]!Loan_Start))</definedName>
    <definedName name="_VZT2" localSheetId="6">DATE(YEAR([1]!Loan_Start),MONTH([1]!Loan_Start)+Payment_Number,DAY([1]!Loan_Start))</definedName>
    <definedName name="_VZT2" localSheetId="8">DATE(YEAR([1]!Loan_Start),MONTH([1]!Loan_Start)+Payment_Number,DAY([1]!Loan_Start))</definedName>
    <definedName name="_VZT2" localSheetId="0">DATE(YEAR(KL!Loan_Start),MONTH(KL!Loan_Start)+Payment_Number,DAY(KL!Loan_Start))</definedName>
    <definedName name="_VZT2" localSheetId="1">DATE(YEAR(VRN!Loan_Start),MONTH(VRN!Loan_Start)+Payment_Number,DAY(VRN!Loan_Start))</definedName>
    <definedName name="_VZT2" localSheetId="9">DATE(YEAR([2]!Loan_Start),MONTH([2]!Loan_Start)+Payment_Number,DAY([2]!Loan_Start))</definedName>
    <definedName name="_VZT2">DATE(YEAR([0]!Loan_Start),MONTH([0]!Loan_Start)+Payment_Number,DAY([0]!Loan_Start))</definedName>
    <definedName name="_vzt3" localSheetId="2">'[3]Rekapitulace roz.  vč. kapitol'!#REF!</definedName>
    <definedName name="_vzt3" localSheetId="4">'[3]Rekapitulace roz.  vč. kapitol'!#REF!</definedName>
    <definedName name="_vzt3" localSheetId="5">'[3]Rekapitulace roz.  vč. kapitol'!#REF!</definedName>
    <definedName name="_vzt3" localSheetId="3">'[3]Rekapitulace roz.  vč. kapitol'!#REF!</definedName>
    <definedName name="_vzt3" localSheetId="7">'[3]Rekapitulace roz.  vč. kapitol'!#REF!</definedName>
    <definedName name="_vzt3" localSheetId="6">'[3]Rekapitulace roz.  vč. kapitol'!#REF!</definedName>
    <definedName name="_vzt3" localSheetId="8">'[3]Rekapitulace roz.  vč. kapitol'!#REF!</definedName>
    <definedName name="_vzt3" localSheetId="0">'[3]Rekapitulace roz.  vč. kapitol'!#REF!</definedName>
    <definedName name="_vzt3" localSheetId="1">'[3]Rekapitulace roz.  vč. kapitol'!#REF!</definedName>
    <definedName name="_vzt3" localSheetId="9">'[3]Rekapitulace roz.  vč. kapitol'!#REF!</definedName>
    <definedName name="_vzt3">'[3]Rekapitulace roz.  vč. kapitol'!#REF!</definedName>
    <definedName name="_VZT5" localSheetId="2">'[3]Rekapitulace roz.  vč. kapitol'!#REF!</definedName>
    <definedName name="_VZT5" localSheetId="4">'[3]Rekapitulace roz.  vč. kapitol'!#REF!</definedName>
    <definedName name="_VZT5" localSheetId="5">'[3]Rekapitulace roz.  vč. kapitol'!#REF!</definedName>
    <definedName name="_VZT5" localSheetId="3">'[3]Rekapitulace roz.  vč. kapitol'!#REF!</definedName>
    <definedName name="_VZT5" localSheetId="7">'[3]Rekapitulace roz.  vč. kapitol'!#REF!</definedName>
    <definedName name="_VZT5" localSheetId="6">'[3]Rekapitulace roz.  vč. kapitol'!#REF!</definedName>
    <definedName name="_VZT5" localSheetId="8">'[3]Rekapitulace roz.  vč. kapitol'!#REF!</definedName>
    <definedName name="_VZT5" localSheetId="0">'[3]Rekapitulace roz.  vč. kapitol'!#REF!</definedName>
    <definedName name="_VZT5" localSheetId="1">'[3]Rekapitulace roz.  vč. kapitol'!#REF!</definedName>
    <definedName name="_VZT5" localSheetId="9">'[3]Rekapitulace roz.  vč. kapitol'!#REF!</definedName>
    <definedName name="_VZT5">'[3]Rekapitulace roz.  vč. kapitol'!#REF!</definedName>
    <definedName name="_VZT6" localSheetId="2">'[3]Rekapitulace roz.  vč. kapitol'!#REF!</definedName>
    <definedName name="_VZT6" localSheetId="4">'[3]Rekapitulace roz.  vč. kapitol'!#REF!</definedName>
    <definedName name="_VZT6" localSheetId="5">'[3]Rekapitulace roz.  vč. kapitol'!#REF!</definedName>
    <definedName name="_VZT6" localSheetId="3">'[3]Rekapitulace roz.  vč. kapitol'!#REF!</definedName>
    <definedName name="_VZT6" localSheetId="7">'[3]Rekapitulace roz.  vč. kapitol'!#REF!</definedName>
    <definedName name="_VZT6" localSheetId="6">'[3]Rekapitulace roz.  vč. kapitol'!#REF!</definedName>
    <definedName name="_VZT6" localSheetId="8">'[3]Rekapitulace roz.  vč. kapitol'!#REF!</definedName>
    <definedName name="_VZT6" localSheetId="0">'[3]Rekapitulace roz.  vč. kapitol'!#REF!</definedName>
    <definedName name="_VZT6" localSheetId="1">'[3]Rekapitulace roz.  vč. kapitol'!#REF!</definedName>
    <definedName name="_VZT6" localSheetId="9">'[3]Rekapitulace roz.  vč. kapitol'!#REF!</definedName>
    <definedName name="_VZT6">'[3]Rekapitulace roz.  vč. kapitol'!#REF!</definedName>
    <definedName name="_VZT8" localSheetId="2">'[3]Rekapitulace roz.  vč. kapitol'!#REF!</definedName>
    <definedName name="_VZT8" localSheetId="4">'[3]Rekapitulace roz.  vč. kapitol'!#REF!</definedName>
    <definedName name="_VZT8" localSheetId="5">'[3]Rekapitulace roz.  vč. kapitol'!#REF!</definedName>
    <definedName name="_VZT8" localSheetId="3">'[3]Rekapitulace roz.  vč. kapitol'!#REF!</definedName>
    <definedName name="_VZT8" localSheetId="7">'[3]Rekapitulace roz.  vč. kapitol'!#REF!</definedName>
    <definedName name="_VZT8" localSheetId="6">'[3]Rekapitulace roz.  vč. kapitol'!#REF!</definedName>
    <definedName name="_VZT8" localSheetId="8">'[3]Rekapitulace roz.  vč. kapitol'!#REF!</definedName>
    <definedName name="_VZT8" localSheetId="0">'[3]Rekapitulace roz.  vč. kapitol'!#REF!</definedName>
    <definedName name="_VZT8" localSheetId="1">'[3]Rekapitulace roz.  vč. kapitol'!#REF!</definedName>
    <definedName name="_VZT8" localSheetId="9">'[3]Rekapitulace roz.  vč. kapitol'!#REF!</definedName>
    <definedName name="_VZT8">'[3]Rekapitulace roz.  vč. kapitol'!#REF!</definedName>
    <definedName name="a" localSheetId="2">'[4]F.1.4.5. ZZTI'!#REF!</definedName>
    <definedName name="a" localSheetId="4">'[4]F.1.4.5. ZZTI'!#REF!</definedName>
    <definedName name="a" localSheetId="5">'[4]F.1.4.5. ZZTI'!#REF!</definedName>
    <definedName name="a" localSheetId="3">'[4]F.1.4.5. ZZTI'!#REF!</definedName>
    <definedName name="a" localSheetId="7">'[4]F.1.4.5. ZZTI'!#REF!</definedName>
    <definedName name="a" localSheetId="6">'[4]F.1.4.5. ZZTI'!#REF!</definedName>
    <definedName name="a" localSheetId="8">'[4]F.1.4.5. ZZTI'!#REF!</definedName>
    <definedName name="a" localSheetId="0">'[4]F.1.4.5. ZZTI'!#REF!</definedName>
    <definedName name="a" localSheetId="1">'[4]F.1.4.5. ZZTI'!#REF!</definedName>
    <definedName name="a" localSheetId="9">'[4]F.1.4.5. ZZTI'!#REF!</definedName>
    <definedName name="a">'[4]F.1.4.5. ZZTI'!#REF!</definedName>
    <definedName name="aaaaaaaa" localSheetId="2" hidden="1">{#N/A,#N/A,TRUE,"Krycí list"}</definedName>
    <definedName name="aaaaaaaa" localSheetId="4" hidden="1">{#N/A,#N/A,TRUE,"Krycí list"}</definedName>
    <definedName name="aaaaaaaa" localSheetId="5" hidden="1">{#N/A,#N/A,TRUE,"Krycí list"}</definedName>
    <definedName name="aaaaaaaa" localSheetId="3" hidden="1">{#N/A,#N/A,TRUE,"Krycí list"}</definedName>
    <definedName name="aaaaaaaa" localSheetId="7" hidden="1">{#N/A,#N/A,TRUE,"Krycí list"}</definedName>
    <definedName name="aaaaaaaa" localSheetId="6" hidden="1">{#N/A,#N/A,TRUE,"Krycí list"}</definedName>
    <definedName name="aaaaaaaa" localSheetId="8" hidden="1">{#N/A,#N/A,TRUE,"Krycí list"}</definedName>
    <definedName name="aaaaaaaa" localSheetId="0" hidden="1">{#N/A,#N/A,TRUE,"Krycí list"}</definedName>
    <definedName name="aaaaaaaa" localSheetId="1" hidden="1">{#N/A,#N/A,TRUE,"Krycí list"}</definedName>
    <definedName name="aaaaaaaa" localSheetId="9" hidden="1">{#N/A,#N/A,TRUE,"Krycí list"}</definedName>
    <definedName name="aaaaaaaa" hidden="1">{#N/A,#N/A,TRUE,"Krycí list"}</definedName>
    <definedName name="Beg_Bal" localSheetId="2">#REF!</definedName>
    <definedName name="Beg_Bal" localSheetId="4">#REF!</definedName>
    <definedName name="Beg_Bal" localSheetId="5">#REF!</definedName>
    <definedName name="Beg_Bal" localSheetId="3">#REF!</definedName>
    <definedName name="Beg_Bal" localSheetId="7">#REF!</definedName>
    <definedName name="Beg_Bal" localSheetId="6">#REF!</definedName>
    <definedName name="Beg_Bal" localSheetId="8">#REF!</definedName>
    <definedName name="Beg_Bal" localSheetId="0">#REF!</definedName>
    <definedName name="Beg_Bal" localSheetId="1">#REF!</definedName>
    <definedName name="Beg_Bal" localSheetId="9">#REF!</definedName>
    <definedName name="Beg_Bal">#REF!</definedName>
    <definedName name="bghrerr" localSheetId="2">#REF!</definedName>
    <definedName name="bghrerr" localSheetId="6">#REF!</definedName>
    <definedName name="bghrerr" localSheetId="8">#REF!</definedName>
    <definedName name="bghrerr">#REF!</definedName>
    <definedName name="bhvfdgvf" localSheetId="2">#REF!</definedName>
    <definedName name="bhvfdgvf" localSheetId="6">#REF!</definedName>
    <definedName name="bhvfdgvf" localSheetId="8">#REF!</definedName>
    <definedName name="bhvfdgvf">#REF!</definedName>
    <definedName name="body_celkem" localSheetId="2">'[3]Rekapitulace roz.  vč. kapitol'!#REF!</definedName>
    <definedName name="body_celkem" localSheetId="4">'[3]Rekapitulace roz.  vč. kapitol'!#REF!</definedName>
    <definedName name="body_celkem" localSheetId="5">'[3]Rekapitulace roz.  vč. kapitol'!#REF!</definedName>
    <definedName name="body_celkem" localSheetId="3">'[3]Rekapitulace roz.  vč. kapitol'!#REF!</definedName>
    <definedName name="body_celkem" localSheetId="7">'[3]Rekapitulace roz.  vč. kapitol'!#REF!</definedName>
    <definedName name="body_celkem" localSheetId="6">'[3]Rekapitulace roz.  vč. kapitol'!#REF!</definedName>
    <definedName name="body_celkem" localSheetId="8">'[3]Rekapitulace roz.  vč. kapitol'!#REF!</definedName>
    <definedName name="body_celkem" localSheetId="0">'[3]Rekapitulace roz.  vč. kapitol'!#REF!</definedName>
    <definedName name="body_celkem" localSheetId="1">'[3]Rekapitulace roz.  vč. kapitol'!#REF!</definedName>
    <definedName name="body_celkem" localSheetId="9">'[3]Rekapitulace roz.  vč. kapitol'!#REF!</definedName>
    <definedName name="body_celkem">'[3]Rekapitulace roz.  vč. kapitol'!#REF!</definedName>
    <definedName name="body_kapitoly" localSheetId="2">'[3]Rekapitulace roz.  vč. kapitol'!#REF!</definedName>
    <definedName name="body_kapitoly" localSheetId="4">'[3]Rekapitulace roz.  vč. kapitol'!#REF!</definedName>
    <definedName name="body_kapitoly" localSheetId="5">'[3]Rekapitulace roz.  vč. kapitol'!#REF!</definedName>
    <definedName name="body_kapitoly" localSheetId="3">'[3]Rekapitulace roz.  vč. kapitol'!#REF!</definedName>
    <definedName name="body_kapitoly" localSheetId="7">'[3]Rekapitulace roz.  vč. kapitol'!#REF!</definedName>
    <definedName name="body_kapitoly" localSheetId="6">'[3]Rekapitulace roz.  vč. kapitol'!#REF!</definedName>
    <definedName name="body_kapitoly" localSheetId="8">'[3]Rekapitulace roz.  vč. kapitol'!#REF!</definedName>
    <definedName name="body_kapitoly" localSheetId="0">'[3]Rekapitulace roz.  vč. kapitol'!#REF!</definedName>
    <definedName name="body_kapitoly" localSheetId="1">'[3]Rekapitulace roz.  vč. kapitol'!#REF!</definedName>
    <definedName name="body_kapitoly" localSheetId="9">'[3]Rekapitulace roz.  vč. kapitol'!#REF!</definedName>
    <definedName name="body_kapitoly">'[3]Rekapitulace roz.  vč. kapitol'!#REF!</definedName>
    <definedName name="body_pomocny" localSheetId="2">'[3]Rekapitulace roz.  vč. kapitol'!#REF!</definedName>
    <definedName name="body_pomocny" localSheetId="4">'[3]Rekapitulace roz.  vč. kapitol'!#REF!</definedName>
    <definedName name="body_pomocny" localSheetId="5">'[3]Rekapitulace roz.  vč. kapitol'!#REF!</definedName>
    <definedName name="body_pomocny" localSheetId="3">'[3]Rekapitulace roz.  vč. kapitol'!#REF!</definedName>
    <definedName name="body_pomocny" localSheetId="7">'[3]Rekapitulace roz.  vč. kapitol'!#REF!</definedName>
    <definedName name="body_pomocny" localSheetId="6">'[3]Rekapitulace roz.  vč. kapitol'!#REF!</definedName>
    <definedName name="body_pomocny" localSheetId="8">'[3]Rekapitulace roz.  vč. kapitol'!#REF!</definedName>
    <definedName name="body_pomocny" localSheetId="0">'[3]Rekapitulace roz.  vč. kapitol'!#REF!</definedName>
    <definedName name="body_pomocny" localSheetId="1">'[3]Rekapitulace roz.  vč. kapitol'!#REF!</definedName>
    <definedName name="body_pomocny" localSheetId="9">'[3]Rekapitulace roz.  vč. kapitol'!#REF!</definedName>
    <definedName name="body_pomocny">'[3]Rekapitulace roz.  vč. kapitol'!#REF!</definedName>
    <definedName name="body_rozpocty" localSheetId="2">'[3]Rekapitulace roz.  vč. kapitol'!#REF!</definedName>
    <definedName name="body_rozpocty" localSheetId="4">'[3]Rekapitulace roz.  vč. kapitol'!#REF!</definedName>
    <definedName name="body_rozpocty" localSheetId="5">'[3]Rekapitulace roz.  vč. kapitol'!#REF!</definedName>
    <definedName name="body_rozpocty" localSheetId="3">'[3]Rekapitulace roz.  vč. kapitol'!#REF!</definedName>
    <definedName name="body_rozpocty" localSheetId="7">'[3]Rekapitulace roz.  vč. kapitol'!#REF!</definedName>
    <definedName name="body_rozpocty" localSheetId="6">'[3]Rekapitulace roz.  vč. kapitol'!#REF!</definedName>
    <definedName name="body_rozpocty" localSheetId="8">'[3]Rekapitulace roz.  vč. kapitol'!#REF!</definedName>
    <definedName name="body_rozpocty" localSheetId="0">'[3]Rekapitulace roz.  vč. kapitol'!#REF!</definedName>
    <definedName name="body_rozpocty" localSheetId="1">'[3]Rekapitulace roz.  vč. kapitol'!#REF!</definedName>
    <definedName name="body_rozpocty" localSheetId="9">'[3]Rekapitulace roz.  vč. kapitol'!#REF!</definedName>
    <definedName name="body_rozpocty">'[3]Rekapitulace roz.  vč. kapitol'!#REF!</definedName>
    <definedName name="category1" localSheetId="2">#REF!</definedName>
    <definedName name="category1" localSheetId="4">#REF!</definedName>
    <definedName name="category1" localSheetId="5">#REF!</definedName>
    <definedName name="category1" localSheetId="3">#REF!</definedName>
    <definedName name="category1" localSheetId="7">#REF!</definedName>
    <definedName name="category1" localSheetId="6">#REF!</definedName>
    <definedName name="category1" localSheetId="8">#REF!</definedName>
    <definedName name="category1" localSheetId="0">#REF!</definedName>
    <definedName name="category1" localSheetId="1">#REF!</definedName>
    <definedName name="category1" localSheetId="9">#REF!</definedName>
    <definedName name="category1">#REF!</definedName>
    <definedName name="CelkemObjekty" localSheetId="0">KL!$F$44</definedName>
    <definedName name="celkrozp" localSheetId="2">#REF!</definedName>
    <definedName name="celkrozp" localSheetId="4">#REF!</definedName>
    <definedName name="celkrozp" localSheetId="5">#REF!</definedName>
    <definedName name="celkrozp" localSheetId="3">#REF!</definedName>
    <definedName name="celkrozp" localSheetId="7">#REF!</definedName>
    <definedName name="celkrozp" localSheetId="6">#REF!</definedName>
    <definedName name="celkrozp" localSheetId="8">#REF!</definedName>
    <definedName name="celkrozp" localSheetId="0">#REF!</definedName>
    <definedName name="celkrozp" localSheetId="1">#REF!</definedName>
    <definedName name="celkrozp" localSheetId="9">#REF!</definedName>
    <definedName name="celkrozp">#REF!</definedName>
    <definedName name="cisloobjektu" localSheetId="2">#REF!</definedName>
    <definedName name="cisloobjektu" localSheetId="5">#REF!</definedName>
    <definedName name="cisloobjektu" localSheetId="7">#REF!</definedName>
    <definedName name="cisloobjektu" localSheetId="6">#REF!</definedName>
    <definedName name="cisloobjektu" localSheetId="8">#REF!</definedName>
    <definedName name="cisloobjektu" localSheetId="0">#REF!</definedName>
    <definedName name="cisloobjektu" localSheetId="1">#REF!</definedName>
    <definedName name="cisloobjektu" localSheetId="9">#REF!</definedName>
    <definedName name="cisloobjektu">#REF!</definedName>
    <definedName name="cislostavby" localSheetId="2">#REF!</definedName>
    <definedName name="cislostavby" localSheetId="5">#REF!</definedName>
    <definedName name="cislostavby" localSheetId="7">#REF!</definedName>
    <definedName name="cislostavby" localSheetId="6">#REF!</definedName>
    <definedName name="cislostavby" localSheetId="8">#REF!</definedName>
    <definedName name="CisloStavby" localSheetId="0">KL!#REF!</definedName>
    <definedName name="cislostavby" localSheetId="1">#REF!</definedName>
    <definedName name="cislostavby" localSheetId="9">#REF!</definedName>
    <definedName name="cislostavby">#REF!</definedName>
    <definedName name="d" localSheetId="2" hidden="1">{#N/A,#N/A,TRUE,"Krycí list"}</definedName>
    <definedName name="d" localSheetId="4" hidden="1">{#N/A,#N/A,TRUE,"Krycí list"}</definedName>
    <definedName name="d" localSheetId="5" hidden="1">{#N/A,#N/A,TRUE,"Krycí list"}</definedName>
    <definedName name="d" localSheetId="3" hidden="1">{#N/A,#N/A,TRUE,"Krycí list"}</definedName>
    <definedName name="d" localSheetId="7" hidden="1">{#N/A,#N/A,TRUE,"Krycí list"}</definedName>
    <definedName name="d" localSheetId="6" hidden="1">{#N/A,#N/A,TRUE,"Krycí list"}</definedName>
    <definedName name="d" localSheetId="8" hidden="1">{#N/A,#N/A,TRUE,"Krycí list"}</definedName>
    <definedName name="d" localSheetId="0" hidden="1">{#N/A,#N/A,TRUE,"Krycí list"}</definedName>
    <definedName name="d" localSheetId="1" hidden="1">{#N/A,#N/A,TRUE,"Krycí list"}</definedName>
    <definedName name="d" localSheetId="9" hidden="1">{#N/A,#N/A,TRUE,"Krycí list"}</definedName>
    <definedName name="d" hidden="1">{#N/A,#N/A,TRUE,"Krycí list"}</definedName>
    <definedName name="dadresa" localSheetId="0">KL!$D$8</definedName>
    <definedName name="Data" localSheetId="2">#REF!</definedName>
    <definedName name="Data" localSheetId="4">#REF!</definedName>
    <definedName name="Data" localSheetId="5">#REF!</definedName>
    <definedName name="Data" localSheetId="3">#REF!</definedName>
    <definedName name="Data" localSheetId="7">#REF!</definedName>
    <definedName name="Data" localSheetId="6">#REF!</definedName>
    <definedName name="Data" localSheetId="8">#REF!</definedName>
    <definedName name="Data" localSheetId="0">#REF!</definedName>
    <definedName name="Data" localSheetId="1">#REF!</definedName>
    <definedName name="Data" localSheetId="9">#REF!</definedName>
    <definedName name="Data">#REF!</definedName>
    <definedName name="Datum" localSheetId="2">#REF!</definedName>
    <definedName name="Datum" localSheetId="5">#REF!</definedName>
    <definedName name="Datum" localSheetId="7">#REF!</definedName>
    <definedName name="Datum" localSheetId="6">#REF!</definedName>
    <definedName name="Datum" localSheetId="8">#REF!</definedName>
    <definedName name="Datum" localSheetId="0">#REF!</definedName>
    <definedName name="Datum" localSheetId="1">#REF!</definedName>
    <definedName name="Datum" localSheetId="9">#REF!</definedName>
    <definedName name="Datum">#REF!</definedName>
    <definedName name="dfdaf" localSheetId="2">#REF!</definedName>
    <definedName name="dfdaf" localSheetId="6">#REF!</definedName>
    <definedName name="dfdaf" localSheetId="8">#REF!</definedName>
    <definedName name="dfdaf">#REF!</definedName>
    <definedName name="DIČ" localSheetId="0">KL!#REF!</definedName>
    <definedName name="Dil" localSheetId="2">#REF!</definedName>
    <definedName name="Dil" localSheetId="5">#REF!</definedName>
    <definedName name="Dil" localSheetId="7">#REF!</definedName>
    <definedName name="Dil" localSheetId="6">#REF!</definedName>
    <definedName name="Dil" localSheetId="8">#REF!</definedName>
    <definedName name="Dil" localSheetId="0">#REF!</definedName>
    <definedName name="Dil" localSheetId="1">#REF!</definedName>
    <definedName name="Dil" localSheetId="9">#REF!</definedName>
    <definedName name="Dil">#REF!</definedName>
    <definedName name="DKGJSDGS" localSheetId="2">#REF!</definedName>
    <definedName name="DKGJSDGS" localSheetId="6">#REF!</definedName>
    <definedName name="DKGJSDGS" localSheetId="8">#REF!</definedName>
    <definedName name="DKGJSDGS">#REF!</definedName>
    <definedName name="dmisto" localSheetId="0">KL!#REF!</definedName>
    <definedName name="dod" localSheetId="2">'[4]F.1.4.5. ZZTI'!#REF!</definedName>
    <definedName name="dod" localSheetId="4">'[4]F.1.4.5. ZZTI'!#REF!</definedName>
    <definedName name="dod" localSheetId="5">'[4]F.1.4.5. ZZTI'!#REF!</definedName>
    <definedName name="dod" localSheetId="3">'[4]F.1.4.5. ZZTI'!#REF!</definedName>
    <definedName name="dod" localSheetId="7">'[4]F.1.4.5. ZZTI'!#REF!</definedName>
    <definedName name="dod" localSheetId="6">'[4]F.1.4.5. ZZTI'!#REF!</definedName>
    <definedName name="dod" localSheetId="8">'[4]F.1.4.5. ZZTI'!#REF!</definedName>
    <definedName name="dod" localSheetId="0">'[4]F.1.4.5. ZZTI'!#REF!</definedName>
    <definedName name="dod" localSheetId="1">'[4]F.1.4.5. ZZTI'!#REF!</definedName>
    <definedName name="dod" localSheetId="9">'[4]F.1.4.5. ZZTI'!#REF!</definedName>
    <definedName name="dod">'[4]F.1.4.5. ZZTI'!#REF!</definedName>
    <definedName name="Dodavka" localSheetId="2">#REF!</definedName>
    <definedName name="Dodavka" localSheetId="5">#REF!</definedName>
    <definedName name="Dodavka" localSheetId="7">#REF!</definedName>
    <definedName name="Dodavka" localSheetId="6">#REF!</definedName>
    <definedName name="Dodavka" localSheetId="8">#REF!</definedName>
    <definedName name="Dodavka" localSheetId="0">#REF!</definedName>
    <definedName name="Dodavka" localSheetId="1">#REF!</definedName>
    <definedName name="Dodavka" localSheetId="9">#REF!</definedName>
    <definedName name="Dodavka">#REF!</definedName>
    <definedName name="Dodavka0" localSheetId="2">#REF!</definedName>
    <definedName name="Dodavka0" localSheetId="4">#REF!</definedName>
    <definedName name="Dodavka0" localSheetId="5">#REF!</definedName>
    <definedName name="Dodavka0" localSheetId="3">#REF!</definedName>
    <definedName name="Dodavka0" localSheetId="7">#REF!</definedName>
    <definedName name="Dodavka0" localSheetId="6">#REF!</definedName>
    <definedName name="Dodavka0" localSheetId="8">#REF!</definedName>
    <definedName name="Dodavka0" localSheetId="0">'[5]002-A.1. Archstav  reseni'!#REF!</definedName>
    <definedName name="Dodavka0" localSheetId="1">#REF!</definedName>
    <definedName name="Dodavka0" localSheetId="9">#REF!</definedName>
    <definedName name="Dodavka0">#REF!</definedName>
    <definedName name="dpsc" localSheetId="0">KL!#REF!</definedName>
    <definedName name="dsfbhbg" localSheetId="2">#REF!</definedName>
    <definedName name="dsfbhbg" localSheetId="4">#REF!</definedName>
    <definedName name="dsfbhbg" localSheetId="5">#REF!</definedName>
    <definedName name="dsfbhbg" localSheetId="3">#REF!</definedName>
    <definedName name="dsfbhbg" localSheetId="7">#REF!</definedName>
    <definedName name="dsfbhbg" localSheetId="6">#REF!</definedName>
    <definedName name="dsfbhbg" localSheetId="8">#REF!</definedName>
    <definedName name="dsfbhbg">#REF!</definedName>
    <definedName name="End_Bal" localSheetId="2">#REF!</definedName>
    <definedName name="End_Bal" localSheetId="4">#REF!</definedName>
    <definedName name="End_Bal" localSheetId="5">#REF!</definedName>
    <definedName name="End_Bal" localSheetId="3">#REF!</definedName>
    <definedName name="End_Bal" localSheetId="7">#REF!</definedName>
    <definedName name="End_Bal" localSheetId="6">#REF!</definedName>
    <definedName name="End_Bal" localSheetId="8">#REF!</definedName>
    <definedName name="End_Bal" localSheetId="0">#REF!</definedName>
    <definedName name="End_Bal" localSheetId="1">#REF!</definedName>
    <definedName name="End_Bal" localSheetId="9">#REF!</definedName>
    <definedName name="End_Bal">#REF!</definedName>
    <definedName name="exter1" localSheetId="2">#REF!</definedName>
    <definedName name="exter1" localSheetId="4">#REF!</definedName>
    <definedName name="exter1" localSheetId="5">#REF!</definedName>
    <definedName name="exter1" localSheetId="3">#REF!</definedName>
    <definedName name="exter1" localSheetId="7">#REF!</definedName>
    <definedName name="exter1" localSheetId="6">#REF!</definedName>
    <definedName name="exter1" localSheetId="8">#REF!</definedName>
    <definedName name="exter1" localSheetId="0">#REF!</definedName>
    <definedName name="exter1" localSheetId="1">#REF!</definedName>
    <definedName name="exter1" localSheetId="9">#REF!</definedName>
    <definedName name="exter1">#REF!</definedName>
    <definedName name="Extra_Pay" localSheetId="2">#REF!</definedName>
    <definedName name="Extra_Pay" localSheetId="4">#REF!</definedName>
    <definedName name="Extra_Pay" localSheetId="5">#REF!</definedName>
    <definedName name="Extra_Pay" localSheetId="3">#REF!</definedName>
    <definedName name="Extra_Pay" localSheetId="7">#REF!</definedName>
    <definedName name="Extra_Pay" localSheetId="6">#REF!</definedName>
    <definedName name="Extra_Pay" localSheetId="8">#REF!</definedName>
    <definedName name="Extra_Pay" localSheetId="0">#REF!</definedName>
    <definedName name="Extra_Pay" localSheetId="1">#REF!</definedName>
    <definedName name="Extra_Pay" localSheetId="9">#REF!</definedName>
    <definedName name="Extra_Pay">#REF!</definedName>
    <definedName name="f" localSheetId="2">#REF!</definedName>
    <definedName name="f" localSheetId="6">#REF!</definedName>
    <definedName name="f" localSheetId="8">#REF!</definedName>
    <definedName name="f">#REF!</definedName>
    <definedName name="Full_Print" localSheetId="2">#REF!</definedName>
    <definedName name="Full_Print" localSheetId="4">#REF!</definedName>
    <definedName name="Full_Print" localSheetId="5">#REF!</definedName>
    <definedName name="Full_Print" localSheetId="3">#REF!</definedName>
    <definedName name="Full_Print" localSheetId="7">#REF!</definedName>
    <definedName name="Full_Print" localSheetId="6">#REF!</definedName>
    <definedName name="Full_Print" localSheetId="8">#REF!</definedName>
    <definedName name="Full_Print" localSheetId="0">#REF!</definedName>
    <definedName name="Full_Print" localSheetId="1">#REF!</definedName>
    <definedName name="Full_Print" localSheetId="9">#REF!</definedName>
    <definedName name="Full_Print">#REF!</definedName>
    <definedName name="H" localSheetId="2">'[3]Rekapitulace roz.  vč. kapitol'!#REF!</definedName>
    <definedName name="H" localSheetId="4">'[3]Rekapitulace roz.  vč. kapitol'!#REF!</definedName>
    <definedName name="H" localSheetId="5">'[3]Rekapitulace roz.  vč. kapitol'!#REF!</definedName>
    <definedName name="H" localSheetId="3">'[3]Rekapitulace roz.  vč. kapitol'!#REF!</definedName>
    <definedName name="H" localSheetId="7">'[3]Rekapitulace roz.  vč. kapitol'!#REF!</definedName>
    <definedName name="H" localSheetId="6">'[3]Rekapitulace roz.  vč. kapitol'!#REF!</definedName>
    <definedName name="H" localSheetId="8">'[3]Rekapitulace roz.  vč. kapitol'!#REF!</definedName>
    <definedName name="H">'[3]Rekapitulace roz.  vč. kapitol'!#REF!</definedName>
    <definedName name="ha" localSheetId="2">'[4]F.1.4.5. ZZTI'!#REF!</definedName>
    <definedName name="ha" localSheetId="4">'[4]F.1.4.5. ZZTI'!#REF!</definedName>
    <definedName name="ha" localSheetId="5">'[4]F.1.4.5. ZZTI'!#REF!</definedName>
    <definedName name="ha" localSheetId="3">'[4]F.1.4.5. ZZTI'!#REF!</definedName>
    <definedName name="ha" localSheetId="7">'[4]F.1.4.5. ZZTI'!#REF!</definedName>
    <definedName name="ha" localSheetId="6">'[4]F.1.4.5. ZZTI'!#REF!</definedName>
    <definedName name="ha" localSheetId="8">'[4]F.1.4.5. ZZTI'!#REF!</definedName>
    <definedName name="ha" localSheetId="0">'[4]F.1.4.5. ZZTI'!#REF!</definedName>
    <definedName name="ha" localSheetId="1">'[4]F.1.4.5. ZZTI'!#REF!</definedName>
    <definedName name="ha" localSheetId="9">'[4]F.1.4.5. ZZTI'!#REF!</definedName>
    <definedName name="ha">'[4]F.1.4.5. ZZTI'!#REF!</definedName>
    <definedName name="Header_Row" localSheetId="2">ROW(#REF!)</definedName>
    <definedName name="Header_Row" localSheetId="4">ROW(#REF!)</definedName>
    <definedName name="Header_Row" localSheetId="5">ROW(#REF!)</definedName>
    <definedName name="Header_Row" localSheetId="3">ROW(#REF!)</definedName>
    <definedName name="Header_Row" localSheetId="7">ROW(#REF!)</definedName>
    <definedName name="Header_Row" localSheetId="6">ROW(#REF!)</definedName>
    <definedName name="Header_Row" localSheetId="8">ROW(#REF!)</definedName>
    <definedName name="Header_Row" localSheetId="0">ROW(#REF!)</definedName>
    <definedName name="Header_Row" localSheetId="1">ROW(#REF!)</definedName>
    <definedName name="Header_Row" localSheetId="9">ROW(#REF!)</definedName>
    <definedName name="Header_Row">ROW(#REF!)</definedName>
    <definedName name="hovno" localSheetId="2">#REF!</definedName>
    <definedName name="hovno" localSheetId="4">#REF!</definedName>
    <definedName name="hovno" localSheetId="5">#REF!</definedName>
    <definedName name="hovno" localSheetId="3">#REF!</definedName>
    <definedName name="hovno" localSheetId="7">#REF!</definedName>
    <definedName name="hovno" localSheetId="6">#REF!</definedName>
    <definedName name="hovno" localSheetId="8">#REF!</definedName>
    <definedName name="hovno" localSheetId="0">#REF!</definedName>
    <definedName name="hovno" localSheetId="1">#REF!</definedName>
    <definedName name="hovno" localSheetId="9">#REF!</definedName>
    <definedName name="hovno">#REF!</definedName>
    <definedName name="hs" localSheetId="2">#REF!</definedName>
    <definedName name="hs" localSheetId="6">#REF!</definedName>
    <definedName name="hs" localSheetId="8">#REF!</definedName>
    <definedName name="hs">#REF!</definedName>
    <definedName name="HSV" localSheetId="2">#REF!</definedName>
    <definedName name="HSV" localSheetId="5">#REF!</definedName>
    <definedName name="HSV" localSheetId="7">#REF!</definedName>
    <definedName name="HSV" localSheetId="6">#REF!</definedName>
    <definedName name="HSV" localSheetId="8">#REF!</definedName>
    <definedName name="HSV" localSheetId="0">#REF!</definedName>
    <definedName name="HSV" localSheetId="1">#REF!</definedName>
    <definedName name="HSV" localSheetId="9">#REF!</definedName>
    <definedName name="HSV">#REF!</definedName>
    <definedName name="HSV0" localSheetId="2">#REF!</definedName>
    <definedName name="HSV0" localSheetId="4">#REF!</definedName>
    <definedName name="HSV0" localSheetId="5">#REF!</definedName>
    <definedName name="HSV0" localSheetId="3">#REF!</definedName>
    <definedName name="HSV0" localSheetId="7">#REF!</definedName>
    <definedName name="HSV0" localSheetId="6">#REF!</definedName>
    <definedName name="HSV0" localSheetId="8">#REF!</definedName>
    <definedName name="HSV0" localSheetId="0">'[5]002-A.1. Archstav  reseni'!#REF!</definedName>
    <definedName name="HSV0" localSheetId="1">#REF!</definedName>
    <definedName name="HSV0" localSheetId="9">#REF!</definedName>
    <definedName name="HSV0">#REF!</definedName>
    <definedName name="HZS" localSheetId="2">#REF!</definedName>
    <definedName name="HZS" localSheetId="5">#REF!</definedName>
    <definedName name="HZS" localSheetId="7">#REF!</definedName>
    <definedName name="HZS" localSheetId="6">#REF!</definedName>
    <definedName name="HZS" localSheetId="8">#REF!</definedName>
    <definedName name="HZS" localSheetId="0">#REF!</definedName>
    <definedName name="HZS" localSheetId="1">#REF!</definedName>
    <definedName name="HZS" localSheetId="9">#REF!</definedName>
    <definedName name="HZS">#REF!</definedName>
    <definedName name="HZS0" localSheetId="2">#REF!</definedName>
    <definedName name="HZS0" localSheetId="4">#REF!</definedName>
    <definedName name="HZS0" localSheetId="5">#REF!</definedName>
    <definedName name="HZS0" localSheetId="3">#REF!</definedName>
    <definedName name="HZS0" localSheetId="7">#REF!</definedName>
    <definedName name="HZS0" localSheetId="6">#REF!</definedName>
    <definedName name="HZS0" localSheetId="8">#REF!</definedName>
    <definedName name="HZS0" localSheetId="0">'[5]002-A.1. Archstav  reseni'!#REF!</definedName>
    <definedName name="HZS0" localSheetId="1">#REF!</definedName>
    <definedName name="HZS0" localSheetId="9">#REF!</definedName>
    <definedName name="HZS0">#REF!</definedName>
    <definedName name="IČO" localSheetId="0">KL!#REF!</definedName>
    <definedName name="Int" localSheetId="2">#REF!</definedName>
    <definedName name="Int" localSheetId="4">#REF!</definedName>
    <definedName name="Int" localSheetId="5">#REF!</definedName>
    <definedName name="Int" localSheetId="3">#REF!</definedName>
    <definedName name="Int" localSheetId="7">#REF!</definedName>
    <definedName name="Int" localSheetId="6">#REF!</definedName>
    <definedName name="Int" localSheetId="8">#REF!</definedName>
    <definedName name="Int" localSheetId="0">#REF!</definedName>
    <definedName name="Int" localSheetId="1">#REF!</definedName>
    <definedName name="Int" localSheetId="9">#REF!</definedName>
    <definedName name="Int">#REF!</definedName>
    <definedName name="inter1" localSheetId="2">#REF!</definedName>
    <definedName name="inter1" localSheetId="4">#REF!</definedName>
    <definedName name="inter1" localSheetId="5">#REF!</definedName>
    <definedName name="inter1" localSheetId="3">#REF!</definedName>
    <definedName name="inter1" localSheetId="7">#REF!</definedName>
    <definedName name="inter1" localSheetId="6">#REF!</definedName>
    <definedName name="inter1" localSheetId="8">#REF!</definedName>
    <definedName name="inter1" localSheetId="0">#REF!</definedName>
    <definedName name="inter1" localSheetId="1">#REF!</definedName>
    <definedName name="inter1" localSheetId="9">#REF!</definedName>
    <definedName name="inter1">#REF!</definedName>
    <definedName name="Interest_Rate" localSheetId="2">#REF!</definedName>
    <definedName name="Interest_Rate" localSheetId="4">#REF!</definedName>
    <definedName name="Interest_Rate" localSheetId="5">#REF!</definedName>
    <definedName name="Interest_Rate" localSheetId="3">#REF!</definedName>
    <definedName name="Interest_Rate" localSheetId="7">#REF!</definedName>
    <definedName name="Interest_Rate" localSheetId="6">#REF!</definedName>
    <definedName name="Interest_Rate" localSheetId="8">#REF!</definedName>
    <definedName name="Interest_Rate" localSheetId="0">#REF!</definedName>
    <definedName name="Interest_Rate" localSheetId="1">#REF!</definedName>
    <definedName name="Interest_Rate" localSheetId="9">#REF!</definedName>
    <definedName name="Interest_Rate">#REF!</definedName>
    <definedName name="JKSO" localSheetId="2">#REF!</definedName>
    <definedName name="JKSO" localSheetId="5">#REF!</definedName>
    <definedName name="JKSO" localSheetId="7">#REF!</definedName>
    <definedName name="JKSO" localSheetId="6">#REF!</definedName>
    <definedName name="JKSO" localSheetId="8">#REF!</definedName>
    <definedName name="JKSO" localSheetId="0">#REF!</definedName>
    <definedName name="JKSO" localSheetId="1">#REF!</definedName>
    <definedName name="JKSO" localSheetId="9">#REF!</definedName>
    <definedName name="JKSO">#REF!</definedName>
    <definedName name="jzzuggt" localSheetId="2">#REF!</definedName>
    <definedName name="jzzuggt" localSheetId="6">#REF!</definedName>
    <definedName name="jzzuggt" localSheetId="8">#REF!</definedName>
    <definedName name="jzzuggt">#REF!</definedName>
    <definedName name="Last_Row" localSheetId="2">IF('1 - GARÁŽ - BP'!Values_Entered,'1 - GARÁŽ - BP'!Header_Row+'1 - GARÁŽ - BP'!Number_of_Payments,'1 - GARÁŽ - BP'!Header_Row)</definedName>
    <definedName name="Last_Row" localSheetId="4">IF('1 - ODPOJENÍ OD KANALIZACE'!Values_Entered,'1 - ODPOJENÍ OD KANALIZACE'!Header_Row+'1 - ODPOJENÍ OD KANALIZACE'!Number_of_Payments,'1 - ODPOJENÍ OD KANALIZACE'!Header_Row)</definedName>
    <definedName name="Last_Row" localSheetId="5">IF('1 - ODPOJENÍ OD SILOVÉHO VEDENÍ'!Values_Entered,'1 - ODPOJENÍ OD SILOVÉHO VEDENÍ'!Header_Row+'1 - ODPOJENÍ OD SILOVÉHO VEDENÍ'!Number_of_Payments,'1 - ODPOJENÍ OD SILOVÉHO VEDENÍ'!Header_Row)</definedName>
    <definedName name="Last_Row" localSheetId="3">IF('1 - ODPOJENÍ OD VODOVODU'!Values_Entered,'1 - ODPOJENÍ OD VODOVODU'!Header_Row+'1 - ODPOJENÍ OD VODOVODU'!Number_of_Payments,'1 - ODPOJENÍ OD VODOVODU'!Header_Row)</definedName>
    <definedName name="Last_Row" localSheetId="7">IF('2 - ODPOJENÍ OD SILOVÉHO VEDENÍ'!Values_Entered,'2 - ODPOJENÍ OD SILOVÉHO VEDENÍ'!Header_Row+'2 - ODPOJENÍ OD SILOVÉHO VEDENÍ'!Number_of_Payments,'2 - ODPOJENÍ OD SILOVÉHO VEDENÍ'!Header_Row)</definedName>
    <definedName name="Last_Row" localSheetId="6">IF('2_a - DÍLNA'!Values_Entered,'2_a - DÍLNA'!Header_Row+'2_a - DÍLNA'!Number_of_Payments,'2_a - DÍLNA'!Header_Row)</definedName>
    <definedName name="Last_Row" localSheetId="8">IF('2_b - SKLENÍK'!Values_Entered,'2_b - SKLENÍK'!Header_Row+'2_b - SKLENÍK'!Number_of_Payments,'2_b - SKLENÍK'!Header_Row)</definedName>
    <definedName name="Last_Row" localSheetId="0">IF(KL!Values_Entered,KL!Header_Row+KL!Number_of_Payments,KL!Header_Row)</definedName>
    <definedName name="Last_Row" localSheetId="1">IF(VRN!Values_Entered,VRN!Header_Row+VRN!Number_of_Payments,VRN!Header_Row)</definedName>
    <definedName name="Last_Row" localSheetId="9">IF('ZPEVNĚNÉ PLOCHY + SADOVKY'!Values_Entered,'ZPEVNĚNÉ PLOCHY + SADOVKY'!Header_Row+'ZPEVNĚNÉ PLOCHY + SADOVKY'!Number_of_Payments,'ZPEVNĚNÉ PLOCHY + SADOVKY'!Header_Row)</definedName>
    <definedName name="Last_Row">IF(Values_Entered,Header_Row+Number_of_Payments,Header_Row)</definedName>
    <definedName name="Light" localSheetId="2" hidden="1">{#N/A,#N/A,TRUE,"Krycí list"}</definedName>
    <definedName name="Light" localSheetId="4" hidden="1">{#N/A,#N/A,TRUE,"Krycí list"}</definedName>
    <definedName name="Light" localSheetId="5" hidden="1">{#N/A,#N/A,TRUE,"Krycí list"}</definedName>
    <definedName name="Light" localSheetId="3" hidden="1">{#N/A,#N/A,TRUE,"Krycí list"}</definedName>
    <definedName name="Light" localSheetId="7" hidden="1">{#N/A,#N/A,TRUE,"Krycí list"}</definedName>
    <definedName name="Light" localSheetId="6" hidden="1">{#N/A,#N/A,TRUE,"Krycí list"}</definedName>
    <definedName name="Light" localSheetId="8" hidden="1">{#N/A,#N/A,TRUE,"Krycí list"}</definedName>
    <definedName name="Light" localSheetId="0" hidden="1">{#N/A,#N/A,TRUE,"Krycí list"}</definedName>
    <definedName name="Light" localSheetId="1" hidden="1">{#N/A,#N/A,TRUE,"Krycí list"}</definedName>
    <definedName name="Light" localSheetId="9" hidden="1">{#N/A,#N/A,TRUE,"Krycí list"}</definedName>
    <definedName name="Light" hidden="1">{#N/A,#N/A,TRUE,"Krycí list"}</definedName>
    <definedName name="Lighting" localSheetId="2" hidden="1">{#N/A,#N/A,TRUE,"Krycí list"}</definedName>
    <definedName name="Lighting" localSheetId="4" hidden="1">{#N/A,#N/A,TRUE,"Krycí list"}</definedName>
    <definedName name="Lighting" localSheetId="5" hidden="1">{#N/A,#N/A,TRUE,"Krycí list"}</definedName>
    <definedName name="Lighting" localSheetId="3" hidden="1">{#N/A,#N/A,TRUE,"Krycí list"}</definedName>
    <definedName name="Lighting" localSheetId="7" hidden="1">{#N/A,#N/A,TRUE,"Krycí list"}</definedName>
    <definedName name="Lighting" localSheetId="6" hidden="1">{#N/A,#N/A,TRUE,"Krycí list"}</definedName>
    <definedName name="Lighting" localSheetId="8" hidden="1">{#N/A,#N/A,TRUE,"Krycí list"}</definedName>
    <definedName name="Lighting" localSheetId="0" hidden="1">{#N/A,#N/A,TRUE,"Krycí list"}</definedName>
    <definedName name="Lighting" localSheetId="1" hidden="1">{#N/A,#N/A,TRUE,"Krycí list"}</definedName>
    <definedName name="Lighting" localSheetId="9" hidden="1">{#N/A,#N/A,TRUE,"Krycí list"}</definedName>
    <definedName name="Lighting" hidden="1">{#N/A,#N/A,TRUE,"Krycí list"}</definedName>
    <definedName name="Loan_Amount" localSheetId="2">#REF!</definedName>
    <definedName name="Loan_Amount" localSheetId="4">#REF!</definedName>
    <definedName name="Loan_Amount" localSheetId="5">#REF!</definedName>
    <definedName name="Loan_Amount" localSheetId="3">#REF!</definedName>
    <definedName name="Loan_Amount" localSheetId="7">#REF!</definedName>
    <definedName name="Loan_Amount" localSheetId="6">#REF!</definedName>
    <definedName name="Loan_Amount" localSheetId="8">#REF!</definedName>
    <definedName name="Loan_Amount" localSheetId="0">#REF!</definedName>
    <definedName name="Loan_Amount" localSheetId="1">#REF!</definedName>
    <definedName name="Loan_Amount" localSheetId="9">#REF!</definedName>
    <definedName name="Loan_Amount">#REF!</definedName>
    <definedName name="Loan_Start" localSheetId="2">#REF!</definedName>
    <definedName name="Loan_Start" localSheetId="4">#REF!</definedName>
    <definedName name="Loan_Start" localSheetId="5">#REF!</definedName>
    <definedName name="Loan_Start" localSheetId="3">#REF!</definedName>
    <definedName name="Loan_Start" localSheetId="7">#REF!</definedName>
    <definedName name="Loan_Start" localSheetId="6">#REF!</definedName>
    <definedName name="Loan_Start" localSheetId="8">#REF!</definedName>
    <definedName name="Loan_Start" localSheetId="0">#REF!</definedName>
    <definedName name="Loan_Start" localSheetId="1">#REF!</definedName>
    <definedName name="Loan_Start" localSheetId="9">#REF!</definedName>
    <definedName name="Loan_Start">#REF!</definedName>
    <definedName name="Loan_Years" localSheetId="2">#REF!</definedName>
    <definedName name="Loan_Years" localSheetId="4">#REF!</definedName>
    <definedName name="Loan_Years" localSheetId="5">#REF!</definedName>
    <definedName name="Loan_Years" localSheetId="3">#REF!</definedName>
    <definedName name="Loan_Years" localSheetId="7">#REF!</definedName>
    <definedName name="Loan_Years" localSheetId="6">#REF!</definedName>
    <definedName name="Loan_Years" localSheetId="8">#REF!</definedName>
    <definedName name="Loan_Years" localSheetId="0">#REF!</definedName>
    <definedName name="Loan_Years" localSheetId="1">#REF!</definedName>
    <definedName name="Loan_Years" localSheetId="9">#REF!</definedName>
    <definedName name="Loan_Years">#REF!</definedName>
    <definedName name="MaR" localSheetId="2" hidden="1">{#N/A,#N/A,TRUE,"Krycí list"}</definedName>
    <definedName name="MaR" localSheetId="4" hidden="1">{#N/A,#N/A,TRUE,"Krycí list"}</definedName>
    <definedName name="MaR" localSheetId="5" hidden="1">{#N/A,#N/A,TRUE,"Krycí list"}</definedName>
    <definedName name="MaR" localSheetId="3" hidden="1">{#N/A,#N/A,TRUE,"Krycí list"}</definedName>
    <definedName name="MaR" localSheetId="7" hidden="1">{#N/A,#N/A,TRUE,"Krycí list"}</definedName>
    <definedName name="MaR" localSheetId="6" hidden="1">{#N/A,#N/A,TRUE,"Krycí list"}</definedName>
    <definedName name="MaR" localSheetId="8" hidden="1">{#N/A,#N/A,TRUE,"Krycí list"}</definedName>
    <definedName name="MaR" localSheetId="0" hidden="1">{#N/A,#N/A,TRUE,"Krycí list"}</definedName>
    <definedName name="MaR" localSheetId="1" hidden="1">{#N/A,#N/A,TRUE,"Krycí list"}</definedName>
    <definedName name="MaR" localSheetId="9" hidden="1">{#N/A,#N/A,TRUE,"Krycí list"}</definedName>
    <definedName name="MaR" hidden="1">{#N/A,#N/A,TRUE,"Krycí list"}</definedName>
    <definedName name="meraregulace" localSheetId="2" hidden="1">{#N/A,#N/A,TRUE,"Krycí list"}</definedName>
    <definedName name="meraregulace" localSheetId="4" hidden="1">{#N/A,#N/A,TRUE,"Krycí list"}</definedName>
    <definedName name="meraregulace" localSheetId="5" hidden="1">{#N/A,#N/A,TRUE,"Krycí list"}</definedName>
    <definedName name="meraregulace" localSheetId="3" hidden="1">{#N/A,#N/A,TRUE,"Krycí list"}</definedName>
    <definedName name="meraregulace" localSheetId="7" hidden="1">{#N/A,#N/A,TRUE,"Krycí list"}</definedName>
    <definedName name="meraregulace" localSheetId="6" hidden="1">{#N/A,#N/A,TRUE,"Krycí list"}</definedName>
    <definedName name="meraregulace" localSheetId="8" hidden="1">{#N/A,#N/A,TRUE,"Krycí list"}</definedName>
    <definedName name="meraregulace" localSheetId="0" hidden="1">{#N/A,#N/A,TRUE,"Krycí list"}</definedName>
    <definedName name="meraregulace" localSheetId="1" hidden="1">{#N/A,#N/A,TRUE,"Krycí list"}</definedName>
    <definedName name="meraregulace" localSheetId="9" hidden="1">{#N/A,#N/A,TRUE,"Krycí list"}</definedName>
    <definedName name="meraregulace" hidden="1">{#N/A,#N/A,TRUE,"Krycí list"}</definedName>
    <definedName name="mereni" localSheetId="2">Scheduled_Payment+Extra_Payment</definedName>
    <definedName name="mereni" localSheetId="4">Scheduled_Payment+Extra_Payment</definedName>
    <definedName name="mereni" localSheetId="5">Scheduled_Payment+Extra_Payment</definedName>
    <definedName name="mereni" localSheetId="3">Scheduled_Payment+Extra_Payment</definedName>
    <definedName name="mereni" localSheetId="7">Scheduled_Payment+Extra_Payment</definedName>
    <definedName name="mereni" localSheetId="6">Scheduled_Payment+Extra_Payment</definedName>
    <definedName name="mereni" localSheetId="8">Scheduled_Payment+Extra_Payment</definedName>
    <definedName name="mereni" localSheetId="0">Scheduled_Payment+Extra_Payment</definedName>
    <definedName name="mereni" localSheetId="1">Scheduled_Payment+Extra_Payment</definedName>
    <definedName name="mereni" localSheetId="9">Scheduled_Payment+Extra_Payment</definedName>
    <definedName name="mereni">Scheduled_Payment+Extra_Payment</definedName>
    <definedName name="MJ" localSheetId="2">#REF!</definedName>
    <definedName name="MJ" localSheetId="5">#REF!</definedName>
    <definedName name="MJ" localSheetId="7">#REF!</definedName>
    <definedName name="MJ" localSheetId="6">#REF!</definedName>
    <definedName name="MJ" localSheetId="8">#REF!</definedName>
    <definedName name="MJ" localSheetId="0">#REF!</definedName>
    <definedName name="MJ" localSheetId="1">#REF!</definedName>
    <definedName name="MJ" localSheetId="9">#REF!</definedName>
    <definedName name="MJ">#REF!</definedName>
    <definedName name="Mont" localSheetId="2">#REF!</definedName>
    <definedName name="Mont" localSheetId="5">#REF!</definedName>
    <definedName name="Mont" localSheetId="7">#REF!</definedName>
    <definedName name="Mont" localSheetId="6">#REF!</definedName>
    <definedName name="Mont" localSheetId="8">#REF!</definedName>
    <definedName name="Mont" localSheetId="0">#REF!</definedName>
    <definedName name="Mont" localSheetId="1">#REF!</definedName>
    <definedName name="Mont" localSheetId="9">#REF!</definedName>
    <definedName name="Mont">#REF!</definedName>
    <definedName name="Montaz0" localSheetId="2">#REF!</definedName>
    <definedName name="Montaz0" localSheetId="4">#REF!</definedName>
    <definedName name="Montaz0" localSheetId="5">#REF!</definedName>
    <definedName name="Montaz0" localSheetId="3">#REF!</definedName>
    <definedName name="Montaz0" localSheetId="7">#REF!</definedName>
    <definedName name="Montaz0" localSheetId="6">#REF!</definedName>
    <definedName name="Montaz0" localSheetId="8">#REF!</definedName>
    <definedName name="Montaz0" localSheetId="0">'[5]002-A.1. Archstav  reseni'!#REF!</definedName>
    <definedName name="Montaz0" localSheetId="1">#REF!</definedName>
    <definedName name="Montaz0" localSheetId="9">#REF!</definedName>
    <definedName name="Montaz0">#REF!</definedName>
    <definedName name="mts" localSheetId="2">#REF!</definedName>
    <definedName name="mts" localSheetId="4">#REF!</definedName>
    <definedName name="mts" localSheetId="5">#REF!</definedName>
    <definedName name="mts" localSheetId="3">#REF!</definedName>
    <definedName name="mts" localSheetId="7">#REF!</definedName>
    <definedName name="mts" localSheetId="6">#REF!</definedName>
    <definedName name="mts" localSheetId="8">#REF!</definedName>
    <definedName name="mts" localSheetId="0">#REF!</definedName>
    <definedName name="mts" localSheetId="1">#REF!</definedName>
    <definedName name="mts" localSheetId="9">#REF!</definedName>
    <definedName name="mts">#REF!</definedName>
    <definedName name="n" localSheetId="2">Scheduled_Payment+Extra_Payment</definedName>
    <definedName name="n" localSheetId="4">Scheduled_Payment+Extra_Payment</definedName>
    <definedName name="n" localSheetId="5">Scheduled_Payment+Extra_Payment</definedName>
    <definedName name="n" localSheetId="3">Scheduled_Payment+Extra_Payment</definedName>
    <definedName name="n" localSheetId="7">Scheduled_Payment+Extra_Payment</definedName>
    <definedName name="n" localSheetId="6">Scheduled_Payment+Extra_Payment</definedName>
    <definedName name="n" localSheetId="8">Scheduled_Payment+Extra_Payment</definedName>
    <definedName name="n" localSheetId="0">Scheduled_Payment+Extra_Payment</definedName>
    <definedName name="n" localSheetId="1">Scheduled_Payment+Extra_Payment</definedName>
    <definedName name="n" localSheetId="9">Scheduled_Payment+Extra_Payment</definedName>
    <definedName name="n">Scheduled_Payment+Extra_Payment</definedName>
    <definedName name="NazevDilu" localSheetId="2">#REF!</definedName>
    <definedName name="NazevDilu" localSheetId="5">#REF!</definedName>
    <definedName name="NazevDilu" localSheetId="7">#REF!</definedName>
    <definedName name="NazevDilu" localSheetId="6">#REF!</definedName>
    <definedName name="NazevDilu" localSheetId="8">#REF!</definedName>
    <definedName name="NazevDilu" localSheetId="0">#REF!</definedName>
    <definedName name="NazevDilu" localSheetId="1">#REF!</definedName>
    <definedName name="NazevDilu" localSheetId="9">#REF!</definedName>
    <definedName name="NazevDilu">#REF!</definedName>
    <definedName name="nazevobjektu" localSheetId="2">#REF!</definedName>
    <definedName name="nazevobjektu" localSheetId="5">#REF!</definedName>
    <definedName name="nazevobjektu" localSheetId="7">#REF!</definedName>
    <definedName name="nazevobjektu" localSheetId="6">#REF!</definedName>
    <definedName name="nazevobjektu" localSheetId="8">#REF!</definedName>
    <definedName name="NazevObjektu" localSheetId="0">KL!$C$30</definedName>
    <definedName name="nazevobjektu" localSheetId="1">#REF!</definedName>
    <definedName name="nazevobjektu" localSheetId="9">#REF!</definedName>
    <definedName name="nazevobjektu">#REF!</definedName>
    <definedName name="nazevstavby" localSheetId="2">#REF!</definedName>
    <definedName name="nazevstavby" localSheetId="5">#REF!</definedName>
    <definedName name="nazevstavby" localSheetId="7">#REF!</definedName>
    <definedName name="nazevstavby" localSheetId="6">#REF!</definedName>
    <definedName name="nazevstavby" localSheetId="8">#REF!</definedName>
    <definedName name="NazevStavby" localSheetId="0">KL!$D$5</definedName>
    <definedName name="nazevstavby" localSheetId="1">#REF!</definedName>
    <definedName name="nazevstavby" localSheetId="9">#REF!</definedName>
    <definedName name="nazevstavby">#REF!</definedName>
    <definedName name="Num_Pmt_Per_Year" localSheetId="2">#REF!</definedName>
    <definedName name="Num_Pmt_Per_Year" localSheetId="4">#REF!</definedName>
    <definedName name="Num_Pmt_Per_Year" localSheetId="5">#REF!</definedName>
    <definedName name="Num_Pmt_Per_Year" localSheetId="3">#REF!</definedName>
    <definedName name="Num_Pmt_Per_Year" localSheetId="7">#REF!</definedName>
    <definedName name="Num_Pmt_Per_Year" localSheetId="6">#REF!</definedName>
    <definedName name="Num_Pmt_Per_Year" localSheetId="8">#REF!</definedName>
    <definedName name="Num_Pmt_Per_Year" localSheetId="0">#REF!</definedName>
    <definedName name="Num_Pmt_Per_Year" localSheetId="1">#REF!</definedName>
    <definedName name="Num_Pmt_Per_Year" localSheetId="9">#REF!</definedName>
    <definedName name="Num_Pmt_Per_Year">#REF!</definedName>
    <definedName name="Number_of_Payments" localSheetId="2">MATCH(0.01,'1 - GARÁŽ - BP'!End_Bal,-1)+1</definedName>
    <definedName name="Number_of_Payments" localSheetId="4">MATCH(0.01,'1 - ODPOJENÍ OD KANALIZACE'!End_Bal,-1)+1</definedName>
    <definedName name="Number_of_Payments" localSheetId="5">MATCH(0.01,'1 - ODPOJENÍ OD SILOVÉHO VEDENÍ'!End_Bal,-1)+1</definedName>
    <definedName name="Number_of_Payments" localSheetId="3">MATCH(0.01,'1 - ODPOJENÍ OD VODOVODU'!End_Bal,-1)+1</definedName>
    <definedName name="Number_of_Payments" localSheetId="7">MATCH(0.01,'2 - ODPOJENÍ OD SILOVÉHO VEDENÍ'!End_Bal,-1)+1</definedName>
    <definedName name="Number_of_Payments" localSheetId="6">MATCH(0.01,'2_a - DÍLNA'!End_Bal,-1)+1</definedName>
    <definedName name="Number_of_Payments" localSheetId="8">MATCH(0.01,'2_b - SKLENÍK'!End_Bal,-1)+1</definedName>
    <definedName name="Number_of_Payments" localSheetId="0">MATCH(0.01,KL!End_Bal,-1)+1</definedName>
    <definedName name="Number_of_Payments" localSheetId="1">MATCH(0.01,VRN!End_Bal,-1)+1</definedName>
    <definedName name="Number_of_Payments" localSheetId="9">MATCH(0.01,'ZPEVNĚNÉ PLOCHY + SADOVKY'!End_Bal,-1)+1</definedName>
    <definedName name="Number_of_Payments">MATCH(0.01,End_Bal,-1)+1</definedName>
    <definedName name="obch_sleva" localSheetId="2">#REF!</definedName>
    <definedName name="obch_sleva" localSheetId="4">#REF!</definedName>
    <definedName name="obch_sleva" localSheetId="5">#REF!</definedName>
    <definedName name="obch_sleva" localSheetId="3">#REF!</definedName>
    <definedName name="obch_sleva" localSheetId="7">#REF!</definedName>
    <definedName name="obch_sleva" localSheetId="6">#REF!</definedName>
    <definedName name="obch_sleva" localSheetId="8">#REF!</definedName>
    <definedName name="obch_sleva">#REF!</definedName>
    <definedName name="Objednatel" localSheetId="2">#REF!</definedName>
    <definedName name="Objednatel" localSheetId="5">#REF!</definedName>
    <definedName name="Objednatel" localSheetId="7">#REF!</definedName>
    <definedName name="Objednatel" localSheetId="6">#REF!</definedName>
    <definedName name="Objednatel" localSheetId="8">#REF!</definedName>
    <definedName name="Objednatel" localSheetId="0">KL!$D$9</definedName>
    <definedName name="Objednatel" localSheetId="1">#REF!</definedName>
    <definedName name="Objednatel" localSheetId="9">#REF!</definedName>
    <definedName name="Objednatel">#REF!</definedName>
    <definedName name="Objekt" localSheetId="0">KL!$B$30</definedName>
    <definedName name="_xlnm.Print_Area" localSheetId="2">'1 - GARÁŽ - BP'!$A$1:$I$69</definedName>
    <definedName name="_xlnm.Print_Area" localSheetId="4">'1 - ODPOJENÍ OD KANALIZACE'!$A$1:$I$152</definedName>
    <definedName name="_xlnm.Print_Area" localSheetId="5">'1 - ODPOJENÍ OD SILOVÉHO VEDENÍ'!$A$1:$I$127</definedName>
    <definedName name="_xlnm.Print_Area" localSheetId="3">'1 - ODPOJENÍ OD VODOVODU'!$A$1:$I$101</definedName>
    <definedName name="_xlnm.Print_Area" localSheetId="7">'2 - ODPOJENÍ OD SILOVÉHO VEDENÍ'!$A$1:$I$217</definedName>
    <definedName name="_xlnm.Print_Area" localSheetId="6">'2_a - DÍLNA'!$A$1:$I$82</definedName>
    <definedName name="_xlnm.Print_Area" localSheetId="8">'2_b - SKLENÍK'!$A$1:$I$64</definedName>
    <definedName name="_xlnm.Print_Area" localSheetId="0">KL!$A$1:$I$57</definedName>
    <definedName name="_xlnm.Print_Area" localSheetId="1">VRN!$A$1:$H$43</definedName>
    <definedName name="_xlnm.Print_Area" localSheetId="9">'ZPEVNĚNÉ PLOCHY + SADOVKY'!$A$1:$I$173</definedName>
    <definedName name="odic" localSheetId="0">KL!#REF!</definedName>
    <definedName name="oico" localSheetId="0">KL!#REF!</definedName>
    <definedName name="omisto" localSheetId="0">KL!#REF!</definedName>
    <definedName name="onazev" localSheetId="0">KL!$D$10</definedName>
    <definedName name="op" localSheetId="2">#REF!</definedName>
    <definedName name="op" localSheetId="4">#REF!</definedName>
    <definedName name="op" localSheetId="5">#REF!</definedName>
    <definedName name="op" localSheetId="3">#REF!</definedName>
    <definedName name="op" localSheetId="7">#REF!</definedName>
    <definedName name="op" localSheetId="6">#REF!</definedName>
    <definedName name="op" localSheetId="8">#REF!</definedName>
    <definedName name="op">#REF!</definedName>
    <definedName name="opsc" localSheetId="0">KL!#REF!</definedName>
    <definedName name="Outside" localSheetId="2" hidden="1">{#N/A,#N/A,TRUE,"Krycí list"}</definedName>
    <definedName name="Outside" localSheetId="4" hidden="1">{#N/A,#N/A,TRUE,"Krycí list"}</definedName>
    <definedName name="Outside" localSheetId="5" hidden="1">{#N/A,#N/A,TRUE,"Krycí list"}</definedName>
    <definedName name="Outside" localSheetId="3" hidden="1">{#N/A,#N/A,TRUE,"Krycí list"}</definedName>
    <definedName name="Outside" localSheetId="7" hidden="1">{#N/A,#N/A,TRUE,"Krycí list"}</definedName>
    <definedName name="Outside" localSheetId="6" hidden="1">{#N/A,#N/A,TRUE,"Krycí list"}</definedName>
    <definedName name="Outside" localSheetId="8" hidden="1">{#N/A,#N/A,TRUE,"Krycí list"}</definedName>
    <definedName name="Outside" localSheetId="0" hidden="1">{#N/A,#N/A,TRUE,"Krycí list"}</definedName>
    <definedName name="Outside" localSheetId="1" hidden="1">{#N/A,#N/A,TRUE,"Krycí list"}</definedName>
    <definedName name="Outside" localSheetId="9" hidden="1">{#N/A,#N/A,TRUE,"Krycí list"}</definedName>
    <definedName name="Outside" hidden="1">{#N/A,#N/A,TRUE,"Krycí list"}</definedName>
    <definedName name="Pay_Date" localSheetId="2">#REF!</definedName>
    <definedName name="Pay_Date" localSheetId="4">#REF!</definedName>
    <definedName name="Pay_Date" localSheetId="5">#REF!</definedName>
    <definedName name="Pay_Date" localSheetId="3">#REF!</definedName>
    <definedName name="Pay_Date" localSheetId="7">#REF!</definedName>
    <definedName name="Pay_Date" localSheetId="6">#REF!</definedName>
    <definedName name="Pay_Date" localSheetId="8">#REF!</definedName>
    <definedName name="Pay_Date" localSheetId="0">#REF!</definedName>
    <definedName name="Pay_Date" localSheetId="1">#REF!</definedName>
    <definedName name="Pay_Date" localSheetId="9">#REF!</definedName>
    <definedName name="Pay_Date">#REF!</definedName>
    <definedName name="Pay_Num" localSheetId="2">#REF!</definedName>
    <definedName name="Pay_Num" localSheetId="4">#REF!</definedName>
    <definedName name="Pay_Num" localSheetId="5">#REF!</definedName>
    <definedName name="Pay_Num" localSheetId="3">#REF!</definedName>
    <definedName name="Pay_Num" localSheetId="7">#REF!</definedName>
    <definedName name="Pay_Num" localSheetId="6">#REF!</definedName>
    <definedName name="Pay_Num" localSheetId="8">#REF!</definedName>
    <definedName name="Pay_Num" localSheetId="0">#REF!</definedName>
    <definedName name="Pay_Num" localSheetId="1">#REF!</definedName>
    <definedName name="Pay_Num" localSheetId="9">#REF!</definedName>
    <definedName name="Pay_Num">#REF!</definedName>
    <definedName name="Payment_Date" localSheetId="2">DATE(YEAR('1 - GARÁŽ - BP'!Loan_Start),MONTH('1 - GARÁŽ - BP'!Loan_Start)+Payment_Number,DAY('1 - GARÁŽ - BP'!Loan_Start))</definedName>
    <definedName name="Payment_Date" localSheetId="4">DATE(YEAR('1 - ODPOJENÍ OD KANALIZACE'!Loan_Start),MONTH('1 - ODPOJENÍ OD KANALIZACE'!Loan_Start)+Payment_Number,DAY('1 - ODPOJENÍ OD KANALIZACE'!Loan_Start))</definedName>
    <definedName name="Payment_Date" localSheetId="5">DATE(YEAR('1 - ODPOJENÍ OD SILOVÉHO VEDENÍ'!Loan_Start),MONTH('1 - ODPOJENÍ OD SILOVÉHO VEDENÍ'!Loan_Start)+Payment_Number,DAY('1 - ODPOJENÍ OD SILOVÉHO VEDENÍ'!Loan_Start))</definedName>
    <definedName name="Payment_Date" localSheetId="3">DATE(YEAR('1 - ODPOJENÍ OD VODOVODU'!Loan_Start),MONTH('1 - ODPOJENÍ OD VODOVODU'!Loan_Start)+Payment_Number,DAY('1 - ODPOJENÍ OD VODOVODU'!Loan_Start))</definedName>
    <definedName name="Payment_Date" localSheetId="7">DATE(YEAR('2 - ODPOJENÍ OD SILOVÉHO VEDENÍ'!Loan_Start),MONTH('2 - ODPOJENÍ OD SILOVÉHO VEDENÍ'!Loan_Start)+Payment_Number,DAY('2 - ODPOJENÍ OD SILOVÉHO VEDENÍ'!Loan_Start))</definedName>
    <definedName name="Payment_Date" localSheetId="6">DATE(YEAR('2_a - DÍLNA'!Loan_Start),MONTH('2_a - DÍLNA'!Loan_Start)+Payment_Number,DAY('2_a - DÍLNA'!Loan_Start))</definedName>
    <definedName name="Payment_Date" localSheetId="8">DATE(YEAR('2_b - SKLENÍK'!Loan_Start),MONTH('2_b - SKLENÍK'!Loan_Start)+Payment_Number,DAY('2_b - SKLENÍK'!Loan_Start))</definedName>
    <definedName name="Payment_Date" localSheetId="0">DATE(YEAR(KL!Loan_Start),MONTH(KL!Loan_Start)+Payment_Number,DAY(KL!Loan_Start))</definedName>
    <definedName name="Payment_Date" localSheetId="1">DATE(YEAR(VRN!Loan_Start),MONTH(VRN!Loan_Start)+Payment_Number,DAY(VRN!Loan_Start))</definedName>
    <definedName name="Payment_Date" localSheetId="9">DATE(YEAR('ZPEVNĚNÉ PLOCHY + SADOVKY'!Loan_Start),MONTH('ZPEVNĚNÉ PLOCHY + SADOVKY'!Loan_Start)+Payment_Number,DAY('ZPEVNĚNÉ PLOCHY + SADOVKY'!Loan_Start))</definedName>
    <definedName name="Payment_Date">DATE(YEAR(Loan_Start),MONTH(Loan_Start)+Payment_Number,DAY(Loan_Start))</definedName>
    <definedName name="PocetMJ" localSheetId="2">#REF!</definedName>
    <definedName name="PocetMJ" localSheetId="5">#REF!</definedName>
    <definedName name="PocetMJ" localSheetId="7">#REF!</definedName>
    <definedName name="PocetMJ" localSheetId="6">#REF!</definedName>
    <definedName name="PocetMJ" localSheetId="8">#REF!</definedName>
    <definedName name="PocetMJ" localSheetId="0">#REF!</definedName>
    <definedName name="PocetMJ" localSheetId="1">#REF!</definedName>
    <definedName name="PocetMJ" localSheetId="9">#REF!</definedName>
    <definedName name="PocetMJ">#REF!</definedName>
    <definedName name="pokusAAAA" localSheetId="2">#REF!</definedName>
    <definedName name="pokusAAAA" localSheetId="6">#REF!</definedName>
    <definedName name="pokusAAAA" localSheetId="8">#REF!</definedName>
    <definedName name="pokusAAAA">#REF!</definedName>
    <definedName name="pokusadres" localSheetId="2">#REF!</definedName>
    <definedName name="pokusadres" localSheetId="6">#REF!</definedName>
    <definedName name="pokusadres" localSheetId="8">#REF!</definedName>
    <definedName name="pokusadres">#REF!</definedName>
    <definedName name="položka_A1" localSheetId="2">#REF!</definedName>
    <definedName name="položka_A1" localSheetId="4">#REF!</definedName>
    <definedName name="položka_A1" localSheetId="5">#REF!</definedName>
    <definedName name="položka_A1" localSheetId="3">#REF!</definedName>
    <definedName name="položka_A1" localSheetId="7">#REF!</definedName>
    <definedName name="položka_A1" localSheetId="6">#REF!</definedName>
    <definedName name="položka_A1" localSheetId="8">#REF!</definedName>
    <definedName name="položka_A1" localSheetId="0">#REF!</definedName>
    <definedName name="položka_A1" localSheetId="1">#REF!</definedName>
    <definedName name="položka_A1" localSheetId="9">#REF!</definedName>
    <definedName name="položka_A1">#REF!</definedName>
    <definedName name="položky" localSheetId="2">#REF!</definedName>
    <definedName name="položky" localSheetId="6">#REF!</definedName>
    <definedName name="položky" localSheetId="8">#REF!</definedName>
    <definedName name="položky">#REF!</definedName>
    <definedName name="pom_výp_zač" localSheetId="2">#REF!</definedName>
    <definedName name="pom_výp_zač" localSheetId="4">#REF!</definedName>
    <definedName name="pom_výp_zač" localSheetId="5">#REF!</definedName>
    <definedName name="pom_výp_zač" localSheetId="3">#REF!</definedName>
    <definedName name="pom_výp_zač" localSheetId="7">#REF!</definedName>
    <definedName name="pom_výp_zač" localSheetId="6">#REF!</definedName>
    <definedName name="pom_výp_zač" localSheetId="8">#REF!</definedName>
    <definedName name="pom_výp_zač" localSheetId="0">#REF!</definedName>
    <definedName name="pom_výp_zač" localSheetId="1">#REF!</definedName>
    <definedName name="pom_výp_zač" localSheetId="9">#REF!</definedName>
    <definedName name="pom_výp_zač">#REF!</definedName>
    <definedName name="pom_výpočty" localSheetId="2">#REF!</definedName>
    <definedName name="pom_výpočty" localSheetId="4">#REF!</definedName>
    <definedName name="pom_výpočty" localSheetId="5">#REF!</definedName>
    <definedName name="pom_výpočty" localSheetId="3">#REF!</definedName>
    <definedName name="pom_výpočty" localSheetId="7">#REF!</definedName>
    <definedName name="pom_výpočty" localSheetId="6">#REF!</definedName>
    <definedName name="pom_výpočty" localSheetId="8">#REF!</definedName>
    <definedName name="pom_výpočty" localSheetId="0">#REF!</definedName>
    <definedName name="pom_výpočty" localSheetId="1">#REF!</definedName>
    <definedName name="pom_výpočty" localSheetId="9">#REF!</definedName>
    <definedName name="pom_výpočty">#REF!</definedName>
    <definedName name="powersock" localSheetId="2" hidden="1">{#N/A,#N/A,TRUE,"Krycí list"}</definedName>
    <definedName name="powersock" localSheetId="4" hidden="1">{#N/A,#N/A,TRUE,"Krycí list"}</definedName>
    <definedName name="powersock" localSheetId="5" hidden="1">{#N/A,#N/A,TRUE,"Krycí list"}</definedName>
    <definedName name="powersock" localSheetId="3" hidden="1">{#N/A,#N/A,TRUE,"Krycí list"}</definedName>
    <definedName name="powersock" localSheetId="7" hidden="1">{#N/A,#N/A,TRUE,"Krycí list"}</definedName>
    <definedName name="powersock" localSheetId="6" hidden="1">{#N/A,#N/A,TRUE,"Krycí list"}</definedName>
    <definedName name="powersock" localSheetId="8" hidden="1">{#N/A,#N/A,TRUE,"Krycí list"}</definedName>
    <definedName name="powersock" localSheetId="0" hidden="1">{#N/A,#N/A,TRUE,"Krycí list"}</definedName>
    <definedName name="powersock" localSheetId="1" hidden="1">{#N/A,#N/A,TRUE,"Krycí list"}</definedName>
    <definedName name="powersock" localSheetId="9" hidden="1">{#N/A,#N/A,TRUE,"Krycí list"}</definedName>
    <definedName name="powersock" hidden="1">{#N/A,#N/A,TRUE,"Krycí list"}</definedName>
    <definedName name="PowerSocket" localSheetId="2" hidden="1">{#N/A,#N/A,TRUE,"Krycí list"}</definedName>
    <definedName name="PowerSocket" localSheetId="4" hidden="1">{#N/A,#N/A,TRUE,"Krycí list"}</definedName>
    <definedName name="PowerSocket" localSheetId="5" hidden="1">{#N/A,#N/A,TRUE,"Krycí list"}</definedName>
    <definedName name="PowerSocket" localSheetId="3" hidden="1">{#N/A,#N/A,TRUE,"Krycí list"}</definedName>
    <definedName name="PowerSocket" localSheetId="7" hidden="1">{#N/A,#N/A,TRUE,"Krycí list"}</definedName>
    <definedName name="PowerSocket" localSheetId="6" hidden="1">{#N/A,#N/A,TRUE,"Krycí list"}</definedName>
    <definedName name="PowerSocket" localSheetId="8" hidden="1">{#N/A,#N/A,TRUE,"Krycí list"}</definedName>
    <definedName name="PowerSocket" localSheetId="0" hidden="1">{#N/A,#N/A,TRUE,"Krycí list"}</definedName>
    <definedName name="PowerSocket" localSheetId="1" hidden="1">{#N/A,#N/A,TRUE,"Krycí list"}</definedName>
    <definedName name="PowerSocket" localSheetId="9" hidden="1">{#N/A,#N/A,TRUE,"Krycí list"}</definedName>
    <definedName name="PowerSocket" hidden="1">{#N/A,#N/A,TRUE,"Krycí list"}</definedName>
    <definedName name="Poznamka" localSheetId="2">#REF!</definedName>
    <definedName name="Poznamka" localSheetId="5">#REF!</definedName>
    <definedName name="Poznamka" localSheetId="7">#REF!</definedName>
    <definedName name="Poznamka" localSheetId="6">#REF!</definedName>
    <definedName name="Poznamka" localSheetId="8">#REF!</definedName>
    <definedName name="Poznamka" localSheetId="0">#REF!</definedName>
    <definedName name="Poznamka" localSheetId="1">#REF!</definedName>
    <definedName name="Poznamka" localSheetId="9">#REF!</definedName>
    <definedName name="Poznamka">#REF!</definedName>
    <definedName name="poznámka" localSheetId="2">#REF!</definedName>
    <definedName name="poznámka" localSheetId="6">#REF!</definedName>
    <definedName name="poznámka" localSheetId="8">#REF!</definedName>
    <definedName name="poznámka">#REF!</definedName>
    <definedName name="prep_schem" localSheetId="2">#REF!</definedName>
    <definedName name="prep_schem" localSheetId="6">#REF!</definedName>
    <definedName name="prep_schem" localSheetId="8">#REF!</definedName>
    <definedName name="prep_schem">#REF!</definedName>
    <definedName name="Princ" localSheetId="2">#REF!</definedName>
    <definedName name="Princ" localSheetId="4">#REF!</definedName>
    <definedName name="Princ" localSheetId="5">#REF!</definedName>
    <definedName name="Princ" localSheetId="3">#REF!</definedName>
    <definedName name="Princ" localSheetId="7">#REF!</definedName>
    <definedName name="Princ" localSheetId="6">#REF!</definedName>
    <definedName name="Princ" localSheetId="8">#REF!</definedName>
    <definedName name="Princ" localSheetId="0">#REF!</definedName>
    <definedName name="Princ" localSheetId="1">#REF!</definedName>
    <definedName name="Princ" localSheetId="9">#REF!</definedName>
    <definedName name="Princ">#REF!</definedName>
    <definedName name="Print_Area" localSheetId="2">'1 - GARÁŽ - BP'!$A$1:$I$69</definedName>
    <definedName name="Print_Area" localSheetId="4">'1 - ODPOJENÍ OD KANALIZACE'!$A$1:$I$152</definedName>
    <definedName name="Print_Area" localSheetId="5">'1 - ODPOJENÍ OD SILOVÉHO VEDENÍ'!$A$1:$I$127</definedName>
    <definedName name="Print_Area" localSheetId="3">'1 - ODPOJENÍ OD VODOVODU'!$A$1:$I$101</definedName>
    <definedName name="Print_Area" localSheetId="7">'2 - ODPOJENÍ OD SILOVÉHO VEDENÍ'!$A$1:$I$217</definedName>
    <definedName name="Print_Area" localSheetId="6">'2_a - DÍLNA'!$A$1:$I$82</definedName>
    <definedName name="Print_Area" localSheetId="8">'2_b - SKLENÍK'!$A$1:$I$64</definedName>
    <definedName name="Print_Area" localSheetId="0">KL!$A$1:$I$57</definedName>
    <definedName name="Print_Area" localSheetId="1">VRN!$A$1:$H$43</definedName>
    <definedName name="Print_Area" localSheetId="9">'ZPEVNĚNÉ PLOCHY + SADOVKY'!$A$1:$I$173</definedName>
    <definedName name="Print_Area_Reset" localSheetId="2">OFFSET('1 - GARÁŽ - BP'!Full_Print,0,0,'1 - GARÁŽ - BP'!Last_Row)</definedName>
    <definedName name="Print_Area_Reset" localSheetId="4">OFFSET('1 - ODPOJENÍ OD KANALIZACE'!Full_Print,0,0,'1 - ODPOJENÍ OD KANALIZACE'!Last_Row)</definedName>
    <definedName name="Print_Area_Reset" localSheetId="5">OFFSET('1 - ODPOJENÍ OD SILOVÉHO VEDENÍ'!Full_Print,0,0,'1 - ODPOJENÍ OD SILOVÉHO VEDENÍ'!Last_Row)</definedName>
    <definedName name="Print_Area_Reset" localSheetId="3">OFFSET('1 - ODPOJENÍ OD VODOVODU'!Full_Print,0,0,'1 - ODPOJENÍ OD VODOVODU'!Last_Row)</definedName>
    <definedName name="Print_Area_Reset" localSheetId="7">OFFSET('2 - ODPOJENÍ OD SILOVÉHO VEDENÍ'!Full_Print,0,0,'2 - ODPOJENÍ OD SILOVÉHO VEDENÍ'!Last_Row)</definedName>
    <definedName name="Print_Area_Reset" localSheetId="6">OFFSET('2_a - DÍLNA'!Full_Print,0,0,'2_a - DÍLNA'!Last_Row)</definedName>
    <definedName name="Print_Area_Reset" localSheetId="8">OFFSET('2_b - SKLENÍK'!Full_Print,0,0,'2_b - SKLENÍK'!Last_Row)</definedName>
    <definedName name="Print_Area_Reset" localSheetId="0">OFFSET(KL!Full_Print,0,0,KL!Last_Row)</definedName>
    <definedName name="Print_Area_Reset" localSheetId="1">OFFSET(VRN!Full_Print,0,0,VRN!Last_Row)</definedName>
    <definedName name="Print_Area_Reset" localSheetId="9">OFFSET('ZPEVNĚNÉ PLOCHY + SADOVKY'!Full_Print,0,0,'ZPEVNĚNÉ PLOCHY + SADOVKY'!Last_Row)</definedName>
    <definedName name="Print_Area_Reset">OFFSET(Full_Print,0,0,Last_Row)</definedName>
    <definedName name="Projektant" localSheetId="2">#REF!</definedName>
    <definedName name="Projektant" localSheetId="5">#REF!</definedName>
    <definedName name="Projektant" localSheetId="7">#REF!</definedName>
    <definedName name="Projektant" localSheetId="6">#REF!</definedName>
    <definedName name="Projektant" localSheetId="8">#REF!</definedName>
    <definedName name="Projektant" localSheetId="0">#REF!</definedName>
    <definedName name="Projektant" localSheetId="1">#REF!</definedName>
    <definedName name="Projektant" localSheetId="9">#REF!</definedName>
    <definedName name="Projektant">#REF!</definedName>
    <definedName name="PSV" localSheetId="2">#REF!</definedName>
    <definedName name="PSV" localSheetId="5">#REF!</definedName>
    <definedName name="PSV" localSheetId="7">#REF!</definedName>
    <definedName name="PSV" localSheetId="6">#REF!</definedName>
    <definedName name="PSV" localSheetId="8">#REF!</definedName>
    <definedName name="PSV" localSheetId="0">#REF!</definedName>
    <definedName name="PSV" localSheetId="1">#REF!</definedName>
    <definedName name="PSV" localSheetId="9">#REF!</definedName>
    <definedName name="PSV">#REF!</definedName>
    <definedName name="PSV0" localSheetId="2">#REF!</definedName>
    <definedName name="PSV0" localSheetId="4">#REF!</definedName>
    <definedName name="PSV0" localSheetId="5">#REF!</definedName>
    <definedName name="PSV0" localSheetId="3">#REF!</definedName>
    <definedName name="PSV0" localSheetId="7">#REF!</definedName>
    <definedName name="PSV0" localSheetId="6">#REF!</definedName>
    <definedName name="PSV0" localSheetId="8">#REF!</definedName>
    <definedName name="PSV0" localSheetId="0">'[5]002-A.1. Archstav  reseni'!#REF!</definedName>
    <definedName name="PSV0" localSheetId="1">#REF!</definedName>
    <definedName name="PSV0" localSheetId="9">#REF!</definedName>
    <definedName name="PSV0">#REF!</definedName>
    <definedName name="QQ" localSheetId="2" hidden="1">{#N/A,#N/A,TRUE,"Krycí list"}</definedName>
    <definedName name="QQ" localSheetId="4" hidden="1">{#N/A,#N/A,TRUE,"Krycí list"}</definedName>
    <definedName name="QQ" localSheetId="5" hidden="1">{#N/A,#N/A,TRUE,"Krycí list"}</definedName>
    <definedName name="QQ" localSheetId="3" hidden="1">{#N/A,#N/A,TRUE,"Krycí list"}</definedName>
    <definedName name="QQ" localSheetId="7" hidden="1">{#N/A,#N/A,TRUE,"Krycí list"}</definedName>
    <definedName name="QQ" localSheetId="6" hidden="1">{#N/A,#N/A,TRUE,"Krycí list"}</definedName>
    <definedName name="QQ" localSheetId="8" hidden="1">{#N/A,#N/A,TRUE,"Krycí list"}</definedName>
    <definedName name="QQ" localSheetId="0" hidden="1">{#N/A,#N/A,TRUE,"Krycí list"}</definedName>
    <definedName name="QQ" localSheetId="1" hidden="1">{#N/A,#N/A,TRUE,"Krycí list"}</definedName>
    <definedName name="QQ" localSheetId="9" hidden="1">{#N/A,#N/A,TRUE,"Krycí list"}</definedName>
    <definedName name="QQ" hidden="1">{#N/A,#N/A,TRUE,"Krycí list"}</definedName>
    <definedName name="QQQ" localSheetId="2" hidden="1">{#N/A,#N/A,TRUE,"Krycí list"}</definedName>
    <definedName name="QQQ" localSheetId="4" hidden="1">{#N/A,#N/A,TRUE,"Krycí list"}</definedName>
    <definedName name="QQQ" localSheetId="5" hidden="1">{#N/A,#N/A,TRUE,"Krycí list"}</definedName>
    <definedName name="QQQ" localSheetId="3" hidden="1">{#N/A,#N/A,TRUE,"Krycí list"}</definedName>
    <definedName name="QQQ" localSheetId="7" hidden="1">{#N/A,#N/A,TRUE,"Krycí list"}</definedName>
    <definedName name="QQQ" localSheetId="6" hidden="1">{#N/A,#N/A,TRUE,"Krycí list"}</definedName>
    <definedName name="QQQ" localSheetId="8" hidden="1">{#N/A,#N/A,TRUE,"Krycí list"}</definedName>
    <definedName name="QQQ" localSheetId="0" hidden="1">{#N/A,#N/A,TRUE,"Krycí list"}</definedName>
    <definedName name="QQQ" localSheetId="1" hidden="1">{#N/A,#N/A,TRUE,"Krycí list"}</definedName>
    <definedName name="QQQ" localSheetId="9" hidden="1">{#N/A,#N/A,TRUE,"Krycí list"}</definedName>
    <definedName name="QQQ" hidden="1">{#N/A,#N/A,TRUE,"Krycí list"}</definedName>
    <definedName name="rekapitulace" localSheetId="2">#REF!</definedName>
    <definedName name="rekapitulace" localSheetId="4">#REF!</definedName>
    <definedName name="rekapitulace" localSheetId="5">#REF!</definedName>
    <definedName name="rekapitulace" localSheetId="3">#REF!</definedName>
    <definedName name="rekapitulace" localSheetId="7">#REF!</definedName>
    <definedName name="rekapitulace" localSheetId="6">#REF!</definedName>
    <definedName name="rekapitulace" localSheetId="8">#REF!</definedName>
    <definedName name="rekapitulace">#REF!</definedName>
    <definedName name="rozp" localSheetId="2" hidden="1">{#N/A,#N/A,TRUE,"Krycí list"}</definedName>
    <definedName name="rozp" localSheetId="4" hidden="1">{#N/A,#N/A,TRUE,"Krycí list"}</definedName>
    <definedName name="rozp" localSheetId="5" hidden="1">{#N/A,#N/A,TRUE,"Krycí list"}</definedName>
    <definedName name="rozp" localSheetId="3" hidden="1">{#N/A,#N/A,TRUE,"Krycí list"}</definedName>
    <definedName name="rozp" localSheetId="7" hidden="1">{#N/A,#N/A,TRUE,"Krycí list"}</definedName>
    <definedName name="rozp" localSheetId="6" hidden="1">{#N/A,#N/A,TRUE,"Krycí list"}</definedName>
    <definedName name="rozp" localSheetId="8" hidden="1">{#N/A,#N/A,TRUE,"Krycí list"}</definedName>
    <definedName name="rozp" localSheetId="0" hidden="1">{#N/A,#N/A,TRUE,"Krycí list"}</definedName>
    <definedName name="rozp" localSheetId="1" hidden="1">{#N/A,#N/A,TRUE,"Krycí list"}</definedName>
    <definedName name="rozp" localSheetId="9" hidden="1">{#N/A,#N/A,TRUE,"Krycí list"}</definedName>
    <definedName name="rozp" hidden="1">{#N/A,#N/A,TRUE,"Krycí list"}</definedName>
    <definedName name="rozvržení_rozp" localSheetId="2">#REF!</definedName>
    <definedName name="rozvržení_rozp" localSheetId="4">#REF!</definedName>
    <definedName name="rozvržení_rozp" localSheetId="5">#REF!</definedName>
    <definedName name="rozvržení_rozp" localSheetId="3">#REF!</definedName>
    <definedName name="rozvržení_rozp" localSheetId="7">#REF!</definedName>
    <definedName name="rozvržení_rozp" localSheetId="6">#REF!</definedName>
    <definedName name="rozvržení_rozp" localSheetId="8">#REF!</definedName>
    <definedName name="rozvržení_rozp">#REF!</definedName>
    <definedName name="saboproud" localSheetId="2" hidden="1">{#N/A,#N/A,TRUE,"Krycí list"}</definedName>
    <definedName name="saboproud" localSheetId="4" hidden="1">{#N/A,#N/A,TRUE,"Krycí list"}</definedName>
    <definedName name="saboproud" localSheetId="5" hidden="1">{#N/A,#N/A,TRUE,"Krycí list"}</definedName>
    <definedName name="saboproud" localSheetId="3" hidden="1">{#N/A,#N/A,TRUE,"Krycí list"}</definedName>
    <definedName name="saboproud" localSheetId="7" hidden="1">{#N/A,#N/A,TRUE,"Krycí list"}</definedName>
    <definedName name="saboproud" localSheetId="6" hidden="1">{#N/A,#N/A,TRUE,"Krycí list"}</definedName>
    <definedName name="saboproud" localSheetId="8" hidden="1">{#N/A,#N/A,TRUE,"Krycí list"}</definedName>
    <definedName name="saboproud" localSheetId="0" hidden="1">{#N/A,#N/A,TRUE,"Krycí list"}</definedName>
    <definedName name="saboproud" localSheetId="1" hidden="1">{#N/A,#N/A,TRUE,"Krycí list"}</definedName>
    <definedName name="saboproud" localSheetId="9" hidden="1">{#N/A,#N/A,TRUE,"Krycí list"}</definedName>
    <definedName name="saboproud" hidden="1">{#N/A,#N/A,TRUE,"Krycí list"}</definedName>
    <definedName name="SazbaDPH1" localSheetId="2">#REF!</definedName>
    <definedName name="SazbaDPH1" localSheetId="4">#REF!</definedName>
    <definedName name="SazbaDPH1" localSheetId="5">#REF!</definedName>
    <definedName name="SazbaDPH1" localSheetId="3">#REF!</definedName>
    <definedName name="SazbaDPH1" localSheetId="7">#REF!</definedName>
    <definedName name="SazbaDPH1" localSheetId="6">#REF!</definedName>
    <definedName name="SazbaDPH1" localSheetId="8">#REF!</definedName>
    <definedName name="SazbaDPH1" localSheetId="0">KL!$D$20</definedName>
    <definedName name="SazbaDPH1">#REF!</definedName>
    <definedName name="SazbaDPH2" localSheetId="2">#REF!</definedName>
    <definedName name="SazbaDPH2" localSheetId="4">#REF!</definedName>
    <definedName name="SazbaDPH2" localSheetId="5">#REF!</definedName>
    <definedName name="SazbaDPH2" localSheetId="3">#REF!</definedName>
    <definedName name="SazbaDPH2" localSheetId="7">#REF!</definedName>
    <definedName name="SazbaDPH2" localSheetId="6">#REF!</definedName>
    <definedName name="SazbaDPH2" localSheetId="8">#REF!</definedName>
    <definedName name="SazbaDPH2" localSheetId="0">KL!$D$22</definedName>
    <definedName name="SazbaDPH2">#REF!</definedName>
    <definedName name="Sched_Pay" localSheetId="2">#REF!</definedName>
    <definedName name="Sched_Pay" localSheetId="4">#REF!</definedName>
    <definedName name="Sched_Pay" localSheetId="5">#REF!</definedName>
    <definedName name="Sched_Pay" localSheetId="3">#REF!</definedName>
    <definedName name="Sched_Pay" localSheetId="7">#REF!</definedName>
    <definedName name="Sched_Pay" localSheetId="6">#REF!</definedName>
    <definedName name="Sched_Pay" localSheetId="8">#REF!</definedName>
    <definedName name="Sched_Pay" localSheetId="0">#REF!</definedName>
    <definedName name="Sched_Pay" localSheetId="1">#REF!</definedName>
    <definedName name="Sched_Pay" localSheetId="9">#REF!</definedName>
    <definedName name="Sched_Pay">#REF!</definedName>
    <definedName name="Scheduled_Extra_Payments" localSheetId="2">#REF!</definedName>
    <definedName name="Scheduled_Extra_Payments" localSheetId="4">#REF!</definedName>
    <definedName name="Scheduled_Extra_Payments" localSheetId="5">#REF!</definedName>
    <definedName name="Scheduled_Extra_Payments" localSheetId="3">#REF!</definedName>
    <definedName name="Scheduled_Extra_Payments" localSheetId="7">#REF!</definedName>
    <definedName name="Scheduled_Extra_Payments" localSheetId="6">#REF!</definedName>
    <definedName name="Scheduled_Extra_Payments" localSheetId="8">#REF!</definedName>
    <definedName name="Scheduled_Extra_Payments" localSheetId="0">#REF!</definedName>
    <definedName name="Scheduled_Extra_Payments" localSheetId="1">#REF!</definedName>
    <definedName name="Scheduled_Extra_Payments" localSheetId="9">#REF!</definedName>
    <definedName name="Scheduled_Extra_Payments">#REF!</definedName>
    <definedName name="Scheduled_Interest_Rate" localSheetId="2">#REF!</definedName>
    <definedName name="Scheduled_Interest_Rate" localSheetId="4">#REF!</definedName>
    <definedName name="Scheduled_Interest_Rate" localSheetId="5">#REF!</definedName>
    <definedName name="Scheduled_Interest_Rate" localSheetId="3">#REF!</definedName>
    <definedName name="Scheduled_Interest_Rate" localSheetId="7">#REF!</definedName>
    <definedName name="Scheduled_Interest_Rate" localSheetId="6">#REF!</definedName>
    <definedName name="Scheduled_Interest_Rate" localSheetId="8">#REF!</definedName>
    <definedName name="Scheduled_Interest_Rate" localSheetId="0">#REF!</definedName>
    <definedName name="Scheduled_Interest_Rate" localSheetId="1">#REF!</definedName>
    <definedName name="Scheduled_Interest_Rate" localSheetId="9">#REF!</definedName>
    <definedName name="Scheduled_Interest_Rate">#REF!</definedName>
    <definedName name="Scheduled_Monthly_Payment" localSheetId="2">#REF!</definedName>
    <definedName name="Scheduled_Monthly_Payment" localSheetId="4">#REF!</definedName>
    <definedName name="Scheduled_Monthly_Payment" localSheetId="5">#REF!</definedName>
    <definedName name="Scheduled_Monthly_Payment" localSheetId="3">#REF!</definedName>
    <definedName name="Scheduled_Monthly_Payment" localSheetId="7">#REF!</definedName>
    <definedName name="Scheduled_Monthly_Payment" localSheetId="6">#REF!</definedName>
    <definedName name="Scheduled_Monthly_Payment" localSheetId="8">#REF!</definedName>
    <definedName name="Scheduled_Monthly_Payment" localSheetId="0">#REF!</definedName>
    <definedName name="Scheduled_Monthly_Payment" localSheetId="1">#REF!</definedName>
    <definedName name="Scheduled_Monthly_Payment" localSheetId="9">#REF!</definedName>
    <definedName name="Scheduled_Monthly_Payment">#REF!</definedName>
    <definedName name="SloupecCC" localSheetId="2">#REF!</definedName>
    <definedName name="SloupecCC" localSheetId="5">#REF!</definedName>
    <definedName name="SloupecCC" localSheetId="7">#REF!</definedName>
    <definedName name="SloupecCC" localSheetId="6">#REF!</definedName>
    <definedName name="SloupecCC" localSheetId="8">#REF!</definedName>
    <definedName name="SloupecCC" localSheetId="0">#REF!</definedName>
    <definedName name="SloupecCC" localSheetId="1">#REF!</definedName>
    <definedName name="SloupecCC" localSheetId="9">#REF!</definedName>
    <definedName name="SloupecCC">#REF!</definedName>
    <definedName name="SloupecCisloPol" localSheetId="2">#REF!</definedName>
    <definedName name="SloupecCisloPol" localSheetId="5">#REF!</definedName>
    <definedName name="SloupecCisloPol" localSheetId="7">#REF!</definedName>
    <definedName name="SloupecCisloPol" localSheetId="6">#REF!</definedName>
    <definedName name="SloupecCisloPol" localSheetId="8">#REF!</definedName>
    <definedName name="SloupecCisloPol" localSheetId="0">#REF!</definedName>
    <definedName name="SloupecCisloPol" localSheetId="1">#REF!</definedName>
    <definedName name="SloupecCisloPol" localSheetId="9">#REF!</definedName>
    <definedName name="SloupecCisloPol">#REF!</definedName>
    <definedName name="SloupecJC" localSheetId="2">#REF!</definedName>
    <definedName name="SloupecJC" localSheetId="5">#REF!</definedName>
    <definedName name="SloupecJC" localSheetId="7">#REF!</definedName>
    <definedName name="SloupecJC" localSheetId="6">#REF!</definedName>
    <definedName name="SloupecJC" localSheetId="8">#REF!</definedName>
    <definedName name="SloupecJC" localSheetId="0">#REF!</definedName>
    <definedName name="SloupecJC" localSheetId="1">#REF!</definedName>
    <definedName name="SloupecJC" localSheetId="9">#REF!</definedName>
    <definedName name="SloupecJC">#REF!</definedName>
    <definedName name="SloupecMJ" localSheetId="2">#REF!</definedName>
    <definedName name="SloupecMJ" localSheetId="5">#REF!</definedName>
    <definedName name="SloupecMJ" localSheetId="7">#REF!</definedName>
    <definedName name="SloupecMJ" localSheetId="6">#REF!</definedName>
    <definedName name="SloupecMJ" localSheetId="8">#REF!</definedName>
    <definedName name="SloupecMJ" localSheetId="0">#REF!</definedName>
    <definedName name="SloupecMJ" localSheetId="1">#REF!</definedName>
    <definedName name="SloupecMJ" localSheetId="9">#REF!</definedName>
    <definedName name="SloupecMJ">#REF!</definedName>
    <definedName name="SloupecMnozstvi" localSheetId="2">#REF!</definedName>
    <definedName name="SloupecMnozstvi" localSheetId="5">#REF!</definedName>
    <definedName name="SloupecMnozstvi" localSheetId="7">#REF!</definedName>
    <definedName name="SloupecMnozstvi" localSheetId="6">#REF!</definedName>
    <definedName name="SloupecMnozstvi" localSheetId="8">#REF!</definedName>
    <definedName name="SloupecMnozstvi" localSheetId="0">#REF!</definedName>
    <definedName name="SloupecMnozstvi" localSheetId="1">#REF!</definedName>
    <definedName name="SloupecMnozstvi" localSheetId="9">#REF!</definedName>
    <definedName name="SloupecMnozstvi">#REF!</definedName>
    <definedName name="SloupecNazPol" localSheetId="2">#REF!</definedName>
    <definedName name="SloupecNazPol" localSheetId="5">#REF!</definedName>
    <definedName name="SloupecNazPol" localSheetId="7">#REF!</definedName>
    <definedName name="SloupecNazPol" localSheetId="6">#REF!</definedName>
    <definedName name="SloupecNazPol" localSheetId="8">#REF!</definedName>
    <definedName name="SloupecNazPol" localSheetId="0">#REF!</definedName>
    <definedName name="SloupecNazPol" localSheetId="1">#REF!</definedName>
    <definedName name="SloupecNazPol" localSheetId="9">#REF!</definedName>
    <definedName name="SloupecNazPol">#REF!</definedName>
    <definedName name="SloupecPC" localSheetId="2">#REF!</definedName>
    <definedName name="SloupecPC" localSheetId="5">#REF!</definedName>
    <definedName name="SloupecPC" localSheetId="7">#REF!</definedName>
    <definedName name="SloupecPC" localSheetId="6">#REF!</definedName>
    <definedName name="SloupecPC" localSheetId="8">#REF!</definedName>
    <definedName name="SloupecPC" localSheetId="0">#REF!</definedName>
    <definedName name="SloupecPC" localSheetId="1">#REF!</definedName>
    <definedName name="SloupecPC" localSheetId="9">#REF!</definedName>
    <definedName name="SloupecPC">#REF!</definedName>
    <definedName name="SoucetDilu" localSheetId="0">KL!#REF!</definedName>
    <definedName name="soupis" localSheetId="2" hidden="1">{#N/A,#N/A,TRUE,"Krycí list"}</definedName>
    <definedName name="soupis" localSheetId="4" hidden="1">{#N/A,#N/A,TRUE,"Krycí list"}</definedName>
    <definedName name="soupis" localSheetId="5" hidden="1">{#N/A,#N/A,TRUE,"Krycí list"}</definedName>
    <definedName name="soupis" localSheetId="3" hidden="1">{#N/A,#N/A,TRUE,"Krycí list"}</definedName>
    <definedName name="soupis" localSheetId="7" hidden="1">{#N/A,#N/A,TRUE,"Krycí list"}</definedName>
    <definedName name="soupis" localSheetId="6" hidden="1">{#N/A,#N/A,TRUE,"Krycí list"}</definedName>
    <definedName name="soupis" localSheetId="8" hidden="1">{#N/A,#N/A,TRUE,"Krycí list"}</definedName>
    <definedName name="soupis" localSheetId="0" hidden="1">{#N/A,#N/A,TRUE,"Krycí list"}</definedName>
    <definedName name="soupis" localSheetId="1" hidden="1">{#N/A,#N/A,TRUE,"Krycí list"}</definedName>
    <definedName name="soupis" localSheetId="9" hidden="1">{#N/A,#N/A,TRUE,"Krycí list"}</definedName>
    <definedName name="soupis" hidden="1">{#N/A,#N/A,TRUE,"Krycí list"}</definedName>
    <definedName name="ssss" localSheetId="2">#REF!</definedName>
    <definedName name="ssss" localSheetId="4">#REF!</definedName>
    <definedName name="ssss" localSheetId="5">#REF!</definedName>
    <definedName name="ssss" localSheetId="3">#REF!</definedName>
    <definedName name="ssss" localSheetId="7">#REF!</definedName>
    <definedName name="ssss" localSheetId="6">#REF!</definedName>
    <definedName name="ssss" localSheetId="8">#REF!</definedName>
    <definedName name="ssss">#REF!</definedName>
    <definedName name="StavbaCelkem" localSheetId="0">KL!$H$44</definedName>
    <definedName name="subslevy" localSheetId="2">#REF!</definedName>
    <definedName name="subslevy" localSheetId="4">#REF!</definedName>
    <definedName name="subslevy" localSheetId="5">#REF!</definedName>
    <definedName name="subslevy" localSheetId="3">#REF!</definedName>
    <definedName name="subslevy" localSheetId="7">#REF!</definedName>
    <definedName name="subslevy" localSheetId="6">#REF!</definedName>
    <definedName name="subslevy" localSheetId="8">#REF!</definedName>
    <definedName name="subslevy">#REF!</definedName>
    <definedName name="sum_kapitoly" localSheetId="2">'[3]Rekapitulace roz.  vč. kapitol'!#REF!</definedName>
    <definedName name="sum_kapitoly" localSheetId="4">'[3]Rekapitulace roz.  vč. kapitol'!#REF!</definedName>
    <definedName name="sum_kapitoly" localSheetId="5">'[3]Rekapitulace roz.  vč. kapitol'!#REF!</definedName>
    <definedName name="sum_kapitoly" localSheetId="3">'[3]Rekapitulace roz.  vč. kapitol'!#REF!</definedName>
    <definedName name="sum_kapitoly" localSheetId="7">'[3]Rekapitulace roz.  vč. kapitol'!#REF!</definedName>
    <definedName name="sum_kapitoly" localSheetId="6">'[3]Rekapitulace roz.  vč. kapitol'!#REF!</definedName>
    <definedName name="sum_kapitoly" localSheetId="8">'[3]Rekapitulace roz.  vč. kapitol'!#REF!</definedName>
    <definedName name="sum_kapitoly" localSheetId="0">'[3]Rekapitulace roz.  vč. kapitol'!#REF!</definedName>
    <definedName name="sum_kapitoly" localSheetId="1">'[3]Rekapitulace roz.  vč. kapitol'!#REF!</definedName>
    <definedName name="sum_kapitoly" localSheetId="9">'[3]Rekapitulace roz.  vč. kapitol'!#REF!</definedName>
    <definedName name="sum_kapitoly">'[3]Rekapitulace roz.  vč. kapitol'!#REF!</definedName>
    <definedName name="summary" localSheetId="2" hidden="1">{#N/A,#N/A,TRUE,"Krycí list"}</definedName>
    <definedName name="summary" localSheetId="4" hidden="1">{#N/A,#N/A,TRUE,"Krycí list"}</definedName>
    <definedName name="summary" localSheetId="5" hidden="1">{#N/A,#N/A,TRUE,"Krycí list"}</definedName>
    <definedName name="summary" localSheetId="3" hidden="1">{#N/A,#N/A,TRUE,"Krycí list"}</definedName>
    <definedName name="summary" localSheetId="7" hidden="1">{#N/A,#N/A,TRUE,"Krycí list"}</definedName>
    <definedName name="summary" localSheetId="6" hidden="1">{#N/A,#N/A,TRUE,"Krycí list"}</definedName>
    <definedName name="summary" localSheetId="8" hidden="1">{#N/A,#N/A,TRUE,"Krycí list"}</definedName>
    <definedName name="summary" localSheetId="0" hidden="1">{#N/A,#N/A,TRUE,"Krycí list"}</definedName>
    <definedName name="summary" localSheetId="1" hidden="1">{#N/A,#N/A,TRUE,"Krycí list"}</definedName>
    <definedName name="summary" localSheetId="9" hidden="1">{#N/A,#N/A,TRUE,"Krycí list"}</definedName>
    <definedName name="summary" hidden="1">{#N/A,#N/A,TRUE,"Krycí list"}</definedName>
    <definedName name="sumpok" localSheetId="2">#REF!</definedName>
    <definedName name="sumpok" localSheetId="4">#REF!</definedName>
    <definedName name="sumpok" localSheetId="5">#REF!</definedName>
    <definedName name="sumpok" localSheetId="3">#REF!</definedName>
    <definedName name="sumpok" localSheetId="7">#REF!</definedName>
    <definedName name="sumpok" localSheetId="6">#REF!</definedName>
    <definedName name="sumpok" localSheetId="8">#REF!</definedName>
    <definedName name="sumpok" localSheetId="0">#REF!</definedName>
    <definedName name="sumpok" localSheetId="1">#REF!</definedName>
    <definedName name="sumpok" localSheetId="9">#REF!</definedName>
    <definedName name="sumpok">#REF!</definedName>
    <definedName name="Switchboard" localSheetId="2" hidden="1">{#N/A,#N/A,TRUE,"Krycí list"}</definedName>
    <definedName name="Switchboard" localSheetId="4" hidden="1">{#N/A,#N/A,TRUE,"Krycí list"}</definedName>
    <definedName name="Switchboard" localSheetId="5" hidden="1">{#N/A,#N/A,TRUE,"Krycí list"}</definedName>
    <definedName name="Switchboard" localSheetId="3" hidden="1">{#N/A,#N/A,TRUE,"Krycí list"}</definedName>
    <definedName name="Switchboard" localSheetId="7" hidden="1">{#N/A,#N/A,TRUE,"Krycí list"}</definedName>
    <definedName name="Switchboard" localSheetId="6" hidden="1">{#N/A,#N/A,TRUE,"Krycí list"}</definedName>
    <definedName name="Switchboard" localSheetId="8" hidden="1">{#N/A,#N/A,TRUE,"Krycí list"}</definedName>
    <definedName name="Switchboard" localSheetId="0" hidden="1">{#N/A,#N/A,TRUE,"Krycí list"}</definedName>
    <definedName name="Switchboard" localSheetId="1" hidden="1">{#N/A,#N/A,TRUE,"Krycí list"}</definedName>
    <definedName name="Switchboard" localSheetId="9" hidden="1">{#N/A,#N/A,TRUE,"Krycí list"}</definedName>
    <definedName name="Switchboard" hidden="1">{#N/A,#N/A,TRUE,"Krycí list"}</definedName>
    <definedName name="tab" localSheetId="2">#REF!</definedName>
    <definedName name="tab" localSheetId="4">#REF!</definedName>
    <definedName name="tab" localSheetId="5">#REF!</definedName>
    <definedName name="tab" localSheetId="3">#REF!</definedName>
    <definedName name="tab" localSheetId="7">#REF!</definedName>
    <definedName name="tab" localSheetId="6">#REF!</definedName>
    <definedName name="tab" localSheetId="8">#REF!</definedName>
    <definedName name="tab" localSheetId="0">#REF!</definedName>
    <definedName name="tab" localSheetId="1">#REF!</definedName>
    <definedName name="tab" localSheetId="9">#REF!</definedName>
    <definedName name="tab">#REF!</definedName>
    <definedName name="Total_Interest" localSheetId="2">#REF!</definedName>
    <definedName name="Total_Interest" localSheetId="4">#REF!</definedName>
    <definedName name="Total_Interest" localSheetId="5">#REF!</definedName>
    <definedName name="Total_Interest" localSheetId="3">#REF!</definedName>
    <definedName name="Total_Interest" localSheetId="7">#REF!</definedName>
    <definedName name="Total_Interest" localSheetId="6">#REF!</definedName>
    <definedName name="Total_Interest" localSheetId="8">#REF!</definedName>
    <definedName name="Total_Interest" localSheetId="0">#REF!</definedName>
    <definedName name="Total_Interest" localSheetId="1">#REF!</definedName>
    <definedName name="Total_Interest" localSheetId="9">#REF!</definedName>
    <definedName name="Total_Interest">#REF!</definedName>
    <definedName name="Total_Pay" localSheetId="2">#REF!</definedName>
    <definedName name="Total_Pay" localSheetId="4">#REF!</definedName>
    <definedName name="Total_Pay" localSheetId="5">#REF!</definedName>
    <definedName name="Total_Pay" localSheetId="3">#REF!</definedName>
    <definedName name="Total_Pay" localSheetId="7">#REF!</definedName>
    <definedName name="Total_Pay" localSheetId="6">#REF!</definedName>
    <definedName name="Total_Pay" localSheetId="8">#REF!</definedName>
    <definedName name="Total_Pay" localSheetId="0">#REF!</definedName>
    <definedName name="Total_Pay" localSheetId="1">#REF!</definedName>
    <definedName name="Total_Pay" localSheetId="9">#REF!</definedName>
    <definedName name="Total_Pay">#REF!</definedName>
    <definedName name="Total_Payment" localSheetId="2">Scheduled_Payment+Extra_Payment</definedName>
    <definedName name="Total_Payment" localSheetId="4">Scheduled_Payment+Extra_Payment</definedName>
    <definedName name="Total_Payment" localSheetId="5">Scheduled_Payment+Extra_Payment</definedName>
    <definedName name="Total_Payment" localSheetId="3">Scheduled_Payment+Extra_Payment</definedName>
    <definedName name="Total_Payment" localSheetId="7">Scheduled_Payment+Extra_Payment</definedName>
    <definedName name="Total_Payment" localSheetId="6">Scheduled_Payment+Extra_Payment</definedName>
    <definedName name="Total_Payment" localSheetId="8">Scheduled_Payment+Extra_Payment</definedName>
    <definedName name="Total_Payment" localSheetId="0">Scheduled_Payment+Extra_Payment</definedName>
    <definedName name="Total_Payment" localSheetId="1">Scheduled_Payment+Extra_Payment</definedName>
    <definedName name="Total_Payment" localSheetId="9">Scheduled_Payment+Extra_Payment</definedName>
    <definedName name="Total_Payment">Scheduled_Payment+Extra_Payment</definedName>
    <definedName name="Typ" localSheetId="2">#REF!</definedName>
    <definedName name="Typ" localSheetId="4">#REF!</definedName>
    <definedName name="Typ" localSheetId="5">#REF!</definedName>
    <definedName name="Typ" localSheetId="3">#REF!</definedName>
    <definedName name="Typ" localSheetId="7">#REF!</definedName>
    <definedName name="Typ" localSheetId="6">#REF!</definedName>
    <definedName name="Typ" localSheetId="8">#REF!</definedName>
    <definedName name="Typ" localSheetId="0">'[5]002-A.1. Archstav  reseni'!#REF!</definedName>
    <definedName name="Typ" localSheetId="1">#REF!</definedName>
    <definedName name="Typ" localSheetId="9">#REF!</definedName>
    <definedName name="Typ">#REF!</definedName>
    <definedName name="v" localSheetId="2">'[3]Rekapitulace roz.  vč. kapitol'!#REF!</definedName>
    <definedName name="v" localSheetId="4">'[3]Rekapitulace roz.  vč. kapitol'!#REF!</definedName>
    <definedName name="v" localSheetId="5">'[3]Rekapitulace roz.  vč. kapitol'!#REF!</definedName>
    <definedName name="v" localSheetId="3">'[3]Rekapitulace roz.  vč. kapitol'!#REF!</definedName>
    <definedName name="v" localSheetId="7">'[3]Rekapitulace roz.  vč. kapitol'!#REF!</definedName>
    <definedName name="v" localSheetId="6">'[3]Rekapitulace roz.  vč. kapitol'!#REF!</definedName>
    <definedName name="v" localSheetId="8">'[3]Rekapitulace roz.  vč. kapitol'!#REF!</definedName>
    <definedName name="v" localSheetId="0">'[3]Rekapitulace roz.  vč. kapitol'!#REF!</definedName>
    <definedName name="v" localSheetId="1">'[3]Rekapitulace roz.  vč. kapitol'!#REF!</definedName>
    <definedName name="v" localSheetId="9">'[3]Rekapitulace roz.  vč. kapitol'!#REF!</definedName>
    <definedName name="v">'[3]Rekapitulace roz.  vč. kapitol'!#REF!</definedName>
    <definedName name="Values_Entered" localSheetId="2">IF('1 - GARÁŽ - BP'!Loan_Amount*'1 - GARÁŽ - BP'!Interest_Rate*'1 - GARÁŽ - BP'!Loan_Years*'1 - GARÁŽ - BP'!Loan_Start&gt;0,1,0)</definedName>
    <definedName name="Values_Entered" localSheetId="4">IF('1 - ODPOJENÍ OD KANALIZACE'!Loan_Amount*'1 - ODPOJENÍ OD KANALIZACE'!Interest_Rate*'1 - ODPOJENÍ OD KANALIZACE'!Loan_Years*'1 - ODPOJENÍ OD KANALIZACE'!Loan_Start&gt;0,1,0)</definedName>
    <definedName name="Values_Entered" localSheetId="5">IF('1 - ODPOJENÍ OD SILOVÉHO VEDENÍ'!Loan_Amount*'1 - ODPOJENÍ OD SILOVÉHO VEDENÍ'!Interest_Rate*'1 - ODPOJENÍ OD SILOVÉHO VEDENÍ'!Loan_Years*'1 - ODPOJENÍ OD SILOVÉHO VEDENÍ'!Loan_Start&gt;0,1,0)</definedName>
    <definedName name="Values_Entered" localSheetId="3">IF('1 - ODPOJENÍ OD VODOVODU'!Loan_Amount*'1 - ODPOJENÍ OD VODOVODU'!Interest_Rate*'1 - ODPOJENÍ OD VODOVODU'!Loan_Years*'1 - ODPOJENÍ OD VODOVODU'!Loan_Start&gt;0,1,0)</definedName>
    <definedName name="Values_Entered" localSheetId="7">IF('2 - ODPOJENÍ OD SILOVÉHO VEDENÍ'!Loan_Amount*'2 - ODPOJENÍ OD SILOVÉHO VEDENÍ'!Interest_Rate*'2 - ODPOJENÍ OD SILOVÉHO VEDENÍ'!Loan_Years*'2 - ODPOJENÍ OD SILOVÉHO VEDENÍ'!Loan_Start&gt;0,1,0)</definedName>
    <definedName name="Values_Entered" localSheetId="6">IF('2_a - DÍLNA'!Loan_Amount*'2_a - DÍLNA'!Interest_Rate*'2_a - DÍLNA'!Loan_Years*'2_a - DÍLNA'!Loan_Start&gt;0,1,0)</definedName>
    <definedName name="Values_Entered" localSheetId="8">IF('2_b - SKLENÍK'!Loan_Amount*'2_b - SKLENÍK'!Interest_Rate*'2_b - SKLENÍK'!Loan_Years*'2_b - SKLENÍK'!Loan_Start&gt;0,1,0)</definedName>
    <definedName name="Values_Entered" localSheetId="0">IF(KL!Loan_Amount*KL!Interest_Rate*KL!Loan_Years*KL!Loan_Start&gt;0,1,0)</definedName>
    <definedName name="Values_Entered" localSheetId="1">IF(VRN!Loan_Amount*VRN!Interest_Rate*VRN!Loan_Years*VRN!Loan_Start&gt;0,1,0)</definedName>
    <definedName name="Values_Entered" localSheetId="9">IF('ZPEVNĚNÉ PLOCHY + SADOVKY'!Loan_Amount*'ZPEVNĚNÉ PLOCHY + SADOVKY'!Interest_Rate*'ZPEVNĚNÉ PLOCHY + SADOVKY'!Loan_Years*'ZPEVNĚNÉ PLOCHY + SADOVKY'!Loan_Start&gt;0,1,0)</definedName>
    <definedName name="Values_Entered">IF(Loan_Amount*Interest_Rate*Loan_Years*Loan_Start&gt;0,1,0)</definedName>
    <definedName name="VIZA" localSheetId="2" hidden="1">{#N/A,#N/A,TRUE,"Krycí list"}</definedName>
    <definedName name="VIZA" localSheetId="4" hidden="1">{#N/A,#N/A,TRUE,"Krycí list"}</definedName>
    <definedName name="VIZA" localSheetId="5" hidden="1">{#N/A,#N/A,TRUE,"Krycí list"}</definedName>
    <definedName name="VIZA" localSheetId="3" hidden="1">{#N/A,#N/A,TRUE,"Krycí list"}</definedName>
    <definedName name="VIZA" localSheetId="7" hidden="1">{#N/A,#N/A,TRUE,"Krycí list"}</definedName>
    <definedName name="VIZA" localSheetId="6" hidden="1">{#N/A,#N/A,TRUE,"Krycí list"}</definedName>
    <definedName name="VIZA" localSheetId="8" hidden="1">{#N/A,#N/A,TRUE,"Krycí list"}</definedName>
    <definedName name="VIZA" localSheetId="0" hidden="1">{#N/A,#N/A,TRUE,"Krycí list"}</definedName>
    <definedName name="VIZA" localSheetId="1" hidden="1">{#N/A,#N/A,TRUE,"Krycí list"}</definedName>
    <definedName name="VIZA" localSheetId="9" hidden="1">{#N/A,#N/A,TRUE,"Krycí list"}</definedName>
    <definedName name="VIZA" hidden="1">{#N/A,#N/A,TRUE,"Krycí list"}</definedName>
    <definedName name="VIZA12" localSheetId="2" hidden="1">{#N/A,#N/A,TRUE,"Krycí list"}</definedName>
    <definedName name="VIZA12" localSheetId="4" hidden="1">{#N/A,#N/A,TRUE,"Krycí list"}</definedName>
    <definedName name="VIZA12" localSheetId="5" hidden="1">{#N/A,#N/A,TRUE,"Krycí list"}</definedName>
    <definedName name="VIZA12" localSheetId="3" hidden="1">{#N/A,#N/A,TRUE,"Krycí list"}</definedName>
    <definedName name="VIZA12" localSheetId="7" hidden="1">{#N/A,#N/A,TRUE,"Krycí list"}</definedName>
    <definedName name="VIZA12" localSheetId="6" hidden="1">{#N/A,#N/A,TRUE,"Krycí list"}</definedName>
    <definedName name="VIZA12" localSheetId="8" hidden="1">{#N/A,#N/A,TRUE,"Krycí list"}</definedName>
    <definedName name="VIZA12" localSheetId="0" hidden="1">{#N/A,#N/A,TRUE,"Krycí list"}</definedName>
    <definedName name="VIZA12" localSheetId="1" hidden="1">{#N/A,#N/A,TRUE,"Krycí list"}</definedName>
    <definedName name="VIZA12" localSheetId="9" hidden="1">{#N/A,#N/A,TRUE,"Krycí list"}</definedName>
    <definedName name="VIZA12" hidden="1">{#N/A,#N/A,TRUE,"Krycí list"}</definedName>
    <definedName name="VRN" localSheetId="2">#REF!</definedName>
    <definedName name="VRN" localSheetId="5">#REF!</definedName>
    <definedName name="VRN" localSheetId="7">#REF!</definedName>
    <definedName name="VRN" localSheetId="6">#REF!</definedName>
    <definedName name="VRN" localSheetId="8">#REF!</definedName>
    <definedName name="VRN" localSheetId="0">#REF!</definedName>
    <definedName name="VRN" localSheetId="1">#REF!</definedName>
    <definedName name="VRN" localSheetId="9">#REF!</definedName>
    <definedName name="VRN">#REF!</definedName>
    <definedName name="VRNKc" localSheetId="2">#REF!</definedName>
    <definedName name="VRNKc" localSheetId="5">#REF!</definedName>
    <definedName name="VRNKc" localSheetId="7">#REF!</definedName>
    <definedName name="VRNKc" localSheetId="6">#REF!</definedName>
    <definedName name="VRNKc" localSheetId="8">#REF!</definedName>
    <definedName name="VRNKc" localSheetId="0">#REF!</definedName>
    <definedName name="VRNKc" localSheetId="1">#REF!</definedName>
    <definedName name="VRNKc" localSheetId="9">#REF!</definedName>
    <definedName name="VRNKc">#REF!</definedName>
    <definedName name="VRNnazev" localSheetId="2">#REF!</definedName>
    <definedName name="VRNnazev" localSheetId="5">#REF!</definedName>
    <definedName name="VRNnazev" localSheetId="7">#REF!</definedName>
    <definedName name="VRNnazev" localSheetId="6">#REF!</definedName>
    <definedName name="VRNnazev" localSheetId="8">#REF!</definedName>
    <definedName name="VRNnazev" localSheetId="0">#REF!</definedName>
    <definedName name="VRNnazev" localSheetId="1">#REF!</definedName>
    <definedName name="VRNnazev" localSheetId="9">#REF!</definedName>
    <definedName name="VRNnazev">#REF!</definedName>
    <definedName name="VRNproc" localSheetId="2">#REF!</definedName>
    <definedName name="VRNproc" localSheetId="5">#REF!</definedName>
    <definedName name="VRNproc" localSheetId="7">#REF!</definedName>
    <definedName name="VRNproc" localSheetId="6">#REF!</definedName>
    <definedName name="VRNproc" localSheetId="8">#REF!</definedName>
    <definedName name="VRNproc" localSheetId="0">#REF!</definedName>
    <definedName name="VRNproc" localSheetId="1">#REF!</definedName>
    <definedName name="VRNproc" localSheetId="9">#REF!</definedName>
    <definedName name="VRNproc">#REF!</definedName>
    <definedName name="VRNzakl" localSheetId="2">#REF!</definedName>
    <definedName name="VRNzakl" localSheetId="5">#REF!</definedName>
    <definedName name="VRNzakl" localSheetId="7">#REF!</definedName>
    <definedName name="VRNzakl" localSheetId="6">#REF!</definedName>
    <definedName name="VRNzakl" localSheetId="8">#REF!</definedName>
    <definedName name="VRNzakl" localSheetId="0">#REF!</definedName>
    <definedName name="VRNzakl" localSheetId="1">#REF!</definedName>
    <definedName name="VRNzakl" localSheetId="9">#REF!</definedName>
    <definedName name="VRNzakl">#REF!</definedName>
    <definedName name="výpočty" localSheetId="2">#REF!</definedName>
    <definedName name="výpočty" localSheetId="4">#REF!</definedName>
    <definedName name="výpočty" localSheetId="5">#REF!</definedName>
    <definedName name="výpočty" localSheetId="3">#REF!</definedName>
    <definedName name="výpočty" localSheetId="7">#REF!</definedName>
    <definedName name="výpočty" localSheetId="6">#REF!</definedName>
    <definedName name="výpočty" localSheetId="8">#REF!</definedName>
    <definedName name="výpočty" localSheetId="0">#REF!</definedName>
    <definedName name="výpočty" localSheetId="1">#REF!</definedName>
    <definedName name="výpočty" localSheetId="9">#REF!</definedName>
    <definedName name="výpočty">#REF!</definedName>
    <definedName name="vystup" localSheetId="2">#REF!</definedName>
    <definedName name="vystup" localSheetId="4">#REF!</definedName>
    <definedName name="vystup" localSheetId="5">#REF!</definedName>
    <definedName name="vystup" localSheetId="3">#REF!</definedName>
    <definedName name="vystup" localSheetId="7">#REF!</definedName>
    <definedName name="vystup" localSheetId="6">#REF!</definedName>
    <definedName name="vystup" localSheetId="8">#REF!</definedName>
    <definedName name="vystup" localSheetId="0">#REF!</definedName>
    <definedName name="vystup" localSheetId="1">#REF!</definedName>
    <definedName name="vystup" localSheetId="9">#REF!</definedName>
    <definedName name="vystup">#REF!</definedName>
    <definedName name="vzduchna" localSheetId="2" hidden="1">{#N/A,#N/A,TRUE,"Krycí list"}</definedName>
    <definedName name="vzduchna" localSheetId="4" hidden="1">{#N/A,#N/A,TRUE,"Krycí list"}</definedName>
    <definedName name="vzduchna" localSheetId="5" hidden="1">{#N/A,#N/A,TRUE,"Krycí list"}</definedName>
    <definedName name="vzduchna" localSheetId="3" hidden="1">{#N/A,#N/A,TRUE,"Krycí list"}</definedName>
    <definedName name="vzduchna" localSheetId="7" hidden="1">{#N/A,#N/A,TRUE,"Krycí list"}</definedName>
    <definedName name="vzduchna" localSheetId="6" hidden="1">{#N/A,#N/A,TRUE,"Krycí list"}</definedName>
    <definedName name="vzduchna" localSheetId="8" hidden="1">{#N/A,#N/A,TRUE,"Krycí list"}</definedName>
    <definedName name="vzduchna" localSheetId="0" hidden="1">{#N/A,#N/A,TRUE,"Krycí list"}</definedName>
    <definedName name="vzduchna" localSheetId="1" hidden="1">{#N/A,#N/A,TRUE,"Krycí list"}</definedName>
    <definedName name="vzduchna" localSheetId="9" hidden="1">{#N/A,#N/A,TRUE,"Krycí list"}</definedName>
    <definedName name="vzduchna" hidden="1">{#N/A,#N/A,TRUE,"Krycí list"}</definedName>
    <definedName name="Weak" localSheetId="2" hidden="1">{#N/A,#N/A,TRUE,"Krycí list"}</definedName>
    <definedName name="Weak" localSheetId="4" hidden="1">{#N/A,#N/A,TRUE,"Krycí list"}</definedName>
    <definedName name="Weak" localSheetId="5" hidden="1">{#N/A,#N/A,TRUE,"Krycí list"}</definedName>
    <definedName name="Weak" localSheetId="3" hidden="1">{#N/A,#N/A,TRUE,"Krycí list"}</definedName>
    <definedName name="Weak" localSheetId="7" hidden="1">{#N/A,#N/A,TRUE,"Krycí list"}</definedName>
    <definedName name="Weak" localSheetId="6" hidden="1">{#N/A,#N/A,TRUE,"Krycí list"}</definedName>
    <definedName name="Weak" localSheetId="8" hidden="1">{#N/A,#N/A,TRUE,"Krycí list"}</definedName>
    <definedName name="Weak" localSheetId="0" hidden="1">{#N/A,#N/A,TRUE,"Krycí list"}</definedName>
    <definedName name="Weak" localSheetId="1" hidden="1">{#N/A,#N/A,TRUE,"Krycí list"}</definedName>
    <definedName name="Weak" localSheetId="9" hidden="1">{#N/A,#N/A,TRUE,"Krycí list"}</definedName>
    <definedName name="Weak" hidden="1">{#N/A,#N/A,TRUE,"Krycí list"}</definedName>
    <definedName name="wrn.Kontrolní._.rozpočet." localSheetId="2" hidden="1">{#N/A,#N/A,TRUE,"Krycí list"}</definedName>
    <definedName name="wrn.Kontrolní._.rozpočet." localSheetId="4" hidden="1">{#N/A,#N/A,TRUE,"Krycí list"}</definedName>
    <definedName name="wrn.Kontrolní._.rozpočet." localSheetId="5" hidden="1">{#N/A,#N/A,TRUE,"Krycí list"}</definedName>
    <definedName name="wrn.Kontrolní._.rozpočet." localSheetId="3" hidden="1">{#N/A,#N/A,TRUE,"Krycí list"}</definedName>
    <definedName name="wrn.Kontrolní._.rozpočet." localSheetId="7" hidden="1">{#N/A,#N/A,TRUE,"Krycí list"}</definedName>
    <definedName name="wrn.Kontrolní._.rozpočet." localSheetId="6" hidden="1">{#N/A,#N/A,TRUE,"Krycí list"}</definedName>
    <definedName name="wrn.Kontrolní._.rozpočet." localSheetId="8" hidden="1">{#N/A,#N/A,TRUE,"Krycí list"}</definedName>
    <definedName name="wrn.Kontrolní._.rozpočet." localSheetId="0" hidden="1">{#N/A,#N/A,TRUE,"Krycí list"}</definedName>
    <definedName name="wrn.Kontrolní._.rozpočet." localSheetId="1" hidden="1">{#N/A,#N/A,TRUE,"Krycí list"}</definedName>
    <definedName name="wrn.Kontrolní._.rozpočet." localSheetId="9" hidden="1">{#N/A,#N/A,TRUE,"Krycí list"}</definedName>
    <definedName name="wrn.Kontrolní._.rozpočet." hidden="1">{#N/A,#N/A,TRUE,"Krycí list"}</definedName>
    <definedName name="wrn.Kontrolní._.rozpoeet." localSheetId="2" hidden="1">{#N/A,#N/A,TRUE,"Krycí list"}</definedName>
    <definedName name="wrn.Kontrolní._.rozpoeet." localSheetId="4" hidden="1">{#N/A,#N/A,TRUE,"Krycí list"}</definedName>
    <definedName name="wrn.Kontrolní._.rozpoeet." localSheetId="5" hidden="1">{#N/A,#N/A,TRUE,"Krycí list"}</definedName>
    <definedName name="wrn.Kontrolní._.rozpoeet." localSheetId="3" hidden="1">{#N/A,#N/A,TRUE,"Krycí list"}</definedName>
    <definedName name="wrn.Kontrolní._.rozpoeet." localSheetId="7" hidden="1">{#N/A,#N/A,TRUE,"Krycí list"}</definedName>
    <definedName name="wrn.Kontrolní._.rozpoeet." localSheetId="6" hidden="1">{#N/A,#N/A,TRUE,"Krycí list"}</definedName>
    <definedName name="wrn.Kontrolní._.rozpoeet." localSheetId="8" hidden="1">{#N/A,#N/A,TRUE,"Krycí list"}</definedName>
    <definedName name="wrn.Kontrolní._.rozpoeet." localSheetId="0" hidden="1">{#N/A,#N/A,TRUE,"Krycí list"}</definedName>
    <definedName name="wrn.Kontrolní._.rozpoeet." localSheetId="1" hidden="1">{#N/A,#N/A,TRUE,"Krycí list"}</definedName>
    <definedName name="wrn.Kontrolní._.rozpoeet." localSheetId="9" hidden="1">{#N/A,#N/A,TRUE,"Krycí list"}</definedName>
    <definedName name="wrn.Kontrolní._.rozpoeet." hidden="1">{#N/A,#N/A,TRUE,"Krycí list"}</definedName>
    <definedName name="Z" localSheetId="2">#REF!</definedName>
    <definedName name="Z" localSheetId="4">#REF!</definedName>
    <definedName name="Z" localSheetId="5">#REF!</definedName>
    <definedName name="Z" localSheetId="3">#REF!</definedName>
    <definedName name="Z" localSheetId="7">#REF!</definedName>
    <definedName name="Z" localSheetId="6">#REF!</definedName>
    <definedName name="Z" localSheetId="8">#REF!</definedName>
    <definedName name="Z">#REF!</definedName>
    <definedName name="zahrnsazby" localSheetId="2">#REF!</definedName>
    <definedName name="zahrnsazby" localSheetId="6">#REF!</definedName>
    <definedName name="zahrnsazby" localSheetId="8">#REF!</definedName>
    <definedName name="zahrnsazby">#REF!</definedName>
    <definedName name="zahrnslevy" localSheetId="2">#REF!</definedName>
    <definedName name="zahrnslevy" localSheetId="6">#REF!</definedName>
    <definedName name="zahrnslevy" localSheetId="8">#REF!</definedName>
    <definedName name="zahrnslevy">#REF!</definedName>
    <definedName name="Zakazka" localSheetId="2">#REF!</definedName>
    <definedName name="Zakazka" localSheetId="5">#REF!</definedName>
    <definedName name="Zakazka" localSheetId="7">#REF!</definedName>
    <definedName name="Zakazka" localSheetId="6">#REF!</definedName>
    <definedName name="Zakazka" localSheetId="8">#REF!</definedName>
    <definedName name="Zakazka" localSheetId="0">#REF!</definedName>
    <definedName name="Zakazka" localSheetId="1">#REF!</definedName>
    <definedName name="Zakazka" localSheetId="9">#REF!</definedName>
    <definedName name="Zakazka">#REF!</definedName>
    <definedName name="Zaklad22" localSheetId="2">#REF!</definedName>
    <definedName name="Zaklad22" localSheetId="5">#REF!</definedName>
    <definedName name="Zaklad22" localSheetId="7">#REF!</definedName>
    <definedName name="Zaklad22" localSheetId="6">#REF!</definedName>
    <definedName name="Zaklad22" localSheetId="8">#REF!</definedName>
    <definedName name="Zaklad22" localSheetId="0">#REF!</definedName>
    <definedName name="Zaklad22" localSheetId="1">#REF!</definedName>
    <definedName name="Zaklad22" localSheetId="9">#REF!</definedName>
    <definedName name="Zaklad22">#REF!</definedName>
    <definedName name="Zaklad5" localSheetId="2">#REF!</definedName>
    <definedName name="Zaklad5" localSheetId="5">#REF!</definedName>
    <definedName name="Zaklad5" localSheetId="7">#REF!</definedName>
    <definedName name="Zaklad5" localSheetId="6">#REF!</definedName>
    <definedName name="Zaklad5" localSheetId="8">#REF!</definedName>
    <definedName name="Zaklad5" localSheetId="0">#REF!</definedName>
    <definedName name="Zaklad5" localSheetId="1">#REF!</definedName>
    <definedName name="Zaklad5" localSheetId="9">#REF!</definedName>
    <definedName name="Zaklad5">#REF!</definedName>
    <definedName name="Zhotovitel" localSheetId="2">#REF!</definedName>
    <definedName name="Zhotovitel" localSheetId="5">#REF!</definedName>
    <definedName name="Zhotovitel" localSheetId="7">#REF!</definedName>
    <definedName name="Zhotovitel" localSheetId="6">#REF!</definedName>
    <definedName name="Zhotovitel" localSheetId="8">#REF!</definedName>
    <definedName name="Zhotovitel" localSheetId="0">KL!$D$7</definedName>
    <definedName name="Zhotovitel" localSheetId="1">#REF!</definedName>
    <definedName name="Zhotovitel" localSheetId="9">#REF!</definedName>
    <definedName name="Zhotovitel">#REF!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77" i="32" l="1"/>
  <c r="F176" i="32"/>
  <c r="F162" i="32"/>
  <c r="F153" i="32"/>
  <c r="F151" i="32"/>
  <c r="F136" i="32"/>
  <c r="F134" i="32"/>
  <c r="F30" i="32"/>
  <c r="F27" i="32"/>
  <c r="F147" i="27"/>
  <c r="F81" i="27"/>
  <c r="F116" i="31"/>
  <c r="F113" i="31"/>
  <c r="F109" i="31"/>
  <c r="F102" i="31"/>
  <c r="F99" i="31"/>
  <c r="F70" i="31"/>
  <c r="F66" i="31"/>
  <c r="F50" i="31"/>
  <c r="F45" i="31"/>
  <c r="F43" i="31"/>
  <c r="F40" i="31"/>
  <c r="F38" i="31"/>
  <c r="F35" i="31"/>
  <c r="F33" i="31"/>
  <c r="F29" i="31"/>
  <c r="F15" i="31"/>
  <c r="F12" i="31"/>
  <c r="F85" i="33"/>
  <c r="F82" i="33"/>
  <c r="F79" i="33"/>
  <c r="F41" i="33"/>
  <c r="F38" i="33"/>
  <c r="F34" i="33"/>
  <c r="F32" i="33"/>
  <c r="F29" i="33"/>
  <c r="F24" i="33"/>
  <c r="F121" i="34"/>
  <c r="F118" i="34"/>
  <c r="F110" i="34"/>
  <c r="F107" i="34"/>
  <c r="F105" i="34"/>
  <c r="F103" i="34"/>
  <c r="F101" i="34"/>
  <c r="F99" i="34"/>
  <c r="F97" i="34"/>
  <c r="F94" i="34"/>
  <c r="F92" i="34"/>
  <c r="F90" i="34"/>
  <c r="F88" i="34"/>
  <c r="F87" i="34"/>
  <c r="F85" i="34"/>
  <c r="F83" i="34"/>
  <c r="F81" i="34"/>
  <c r="F79" i="34"/>
  <c r="F76" i="34"/>
  <c r="F73" i="34"/>
  <c r="F63" i="34" l="1"/>
  <c r="F51" i="34"/>
  <c r="F48" i="34"/>
  <c r="F42" i="34"/>
  <c r="F19" i="34"/>
  <c r="F37" i="27" l="1"/>
  <c r="H37" i="27" s="1"/>
  <c r="F78" i="27"/>
  <c r="F132" i="27"/>
  <c r="H132" i="27" s="1"/>
  <c r="F123" i="27" l="1"/>
  <c r="F120" i="27"/>
  <c r="F100" i="27"/>
  <c r="F84" i="27"/>
  <c r="F66" i="25" l="1"/>
  <c r="F125" i="34" l="1"/>
  <c r="F129" i="34" s="1"/>
  <c r="H129" i="34" s="1"/>
  <c r="F139" i="34"/>
  <c r="F140" i="34" s="1"/>
  <c r="F124" i="34" l="1"/>
  <c r="F114" i="34"/>
  <c r="F113" i="34" s="1"/>
  <c r="H113" i="34" s="1"/>
  <c r="F115" i="34"/>
  <c r="H115" i="34" s="1"/>
  <c r="F77" i="34"/>
  <c r="F71" i="34"/>
  <c r="F69" i="34"/>
  <c r="F68" i="34"/>
  <c r="F59" i="34"/>
  <c r="F58" i="34" s="1"/>
  <c r="F60" i="34" s="1"/>
  <c r="H60" i="34" s="1"/>
  <c r="F56" i="34"/>
  <c r="F54" i="34" s="1"/>
  <c r="F38" i="34"/>
  <c r="F37" i="34"/>
  <c r="F35" i="34" s="1"/>
  <c r="H35" i="34" s="1"/>
  <c r="F33" i="34"/>
  <c r="F32" i="34"/>
  <c r="F28" i="34"/>
  <c r="F27" i="34"/>
  <c r="F22" i="34"/>
  <c r="F128" i="34" l="1"/>
  <c r="H128" i="34" s="1"/>
  <c r="F127" i="34"/>
  <c r="H127" i="34" s="1"/>
  <c r="F126" i="34"/>
  <c r="H126" i="34" s="1"/>
  <c r="F25" i="34"/>
  <c r="F30" i="34"/>
  <c r="H30" i="34" s="1"/>
  <c r="H54" i="34"/>
  <c r="F57" i="34"/>
  <c r="H57" i="34" s="1"/>
  <c r="H58" i="34"/>
  <c r="G124" i="34" l="1"/>
  <c r="H124" i="34" s="1"/>
  <c r="H25" i="34"/>
  <c r="F70" i="34" l="1"/>
  <c r="H70" i="34" s="1"/>
  <c r="F38" i="26" l="1"/>
  <c r="F45" i="26"/>
  <c r="F44" i="26" s="1"/>
  <c r="F47" i="26" s="1"/>
  <c r="H47" i="26" s="1"/>
  <c r="F31" i="26"/>
  <c r="F32" i="26"/>
  <c r="F20" i="26"/>
  <c r="F29" i="26" l="1"/>
  <c r="H29" i="26" s="1"/>
  <c r="F46" i="26"/>
  <c r="F48" i="26"/>
  <c r="H48" i="26" s="1"/>
  <c r="H20" i="26"/>
  <c r="F14" i="26"/>
  <c r="F12" i="26"/>
  <c r="F35" i="26"/>
  <c r="F33" i="26" s="1"/>
  <c r="H33" i="26" s="1"/>
  <c r="F19" i="26"/>
  <c r="F18" i="26" s="1"/>
  <c r="H18" i="26" s="1"/>
  <c r="F49" i="26" l="1"/>
  <c r="H49" i="26" s="1"/>
  <c r="H46" i="26"/>
  <c r="F155" i="32"/>
  <c r="F191" i="32"/>
  <c r="H191" i="32" s="1"/>
  <c r="F70" i="32"/>
  <c r="F59" i="32"/>
  <c r="F15" i="32"/>
  <c r="F12" i="32"/>
  <c r="G44" i="26" l="1"/>
  <c r="H44" i="26" s="1"/>
  <c r="F63" i="25" l="1"/>
  <c r="F56" i="25"/>
  <c r="F49" i="25"/>
  <c r="F43" i="25"/>
  <c r="F62" i="25" l="1"/>
  <c r="F65" i="25" s="1"/>
  <c r="H65" i="25" s="1"/>
  <c r="F25" i="25"/>
  <c r="F24" i="25" s="1"/>
  <c r="H24" i="25" s="1"/>
  <c r="F23" i="25"/>
  <c r="F22" i="25" s="1"/>
  <c r="H22" i="25" s="1"/>
  <c r="F40" i="25"/>
  <c r="F39" i="25"/>
  <c r="F64" i="25" l="1"/>
  <c r="F67" i="25" s="1"/>
  <c r="H67" i="25" s="1"/>
  <c r="H66" i="25"/>
  <c r="H64" i="25"/>
  <c r="F55" i="25"/>
  <c r="F37" i="25"/>
  <c r="H37" i="25" s="1"/>
  <c r="F48" i="31"/>
  <c r="F47" i="31" s="1"/>
  <c r="H47" i="31" s="1"/>
  <c r="F25" i="31"/>
  <c r="F23" i="31" s="1"/>
  <c r="H23" i="31" s="1"/>
  <c r="F86" i="31"/>
  <c r="F79" i="31"/>
  <c r="F46" i="31"/>
  <c r="F41" i="31"/>
  <c r="F30" i="31"/>
  <c r="G62" i="25" l="1"/>
  <c r="H62" i="25" s="1"/>
  <c r="F44" i="31"/>
  <c r="F58" i="25"/>
  <c r="H58" i="25" s="1"/>
  <c r="F59" i="25"/>
  <c r="H59" i="25" s="1"/>
  <c r="F57" i="25"/>
  <c r="F39" i="31"/>
  <c r="F28" i="31"/>
  <c r="H57" i="25" l="1"/>
  <c r="F60" i="25"/>
  <c r="H60" i="25" s="1"/>
  <c r="G55" i="25" l="1"/>
  <c r="H55" i="25" s="1"/>
  <c r="F129" i="27"/>
  <c r="H129" i="27" s="1"/>
  <c r="F99" i="27"/>
  <c r="F122" i="27"/>
  <c r="H122" i="27" s="1"/>
  <c r="F119" i="27"/>
  <c r="H119" i="27" s="1"/>
  <c r="F83" i="27"/>
  <c r="H83" i="27" s="1"/>
  <c r="F101" i="27" l="1"/>
  <c r="F132" i="34"/>
  <c r="F102" i="27" l="1"/>
  <c r="H101" i="27"/>
  <c r="F136" i="34"/>
  <c r="H136" i="34" s="1"/>
  <c r="F120" i="34"/>
  <c r="H120" i="34" s="1"/>
  <c r="F117" i="34"/>
  <c r="H117" i="34" s="1"/>
  <c r="F111" i="34"/>
  <c r="F75" i="34"/>
  <c r="F74" i="34"/>
  <c r="F66" i="34"/>
  <c r="F65" i="34"/>
  <c r="F52" i="34"/>
  <c r="F44" i="34"/>
  <c r="F45" i="34"/>
  <c r="F61" i="34" l="1"/>
  <c r="H102" i="27"/>
  <c r="F103" i="27"/>
  <c r="F109" i="34"/>
  <c r="H109" i="34" s="1"/>
  <c r="H108" i="34" s="1"/>
  <c r="F131" i="34"/>
  <c r="F49" i="34"/>
  <c r="F104" i="27" l="1"/>
  <c r="H104" i="27" s="1"/>
  <c r="H103" i="27"/>
  <c r="F134" i="34"/>
  <c r="H134" i="34" s="1"/>
  <c r="F133" i="34"/>
  <c r="H133" i="34" s="1"/>
  <c r="F135" i="34"/>
  <c r="H135" i="34" s="1"/>
  <c r="G99" i="27" l="1"/>
  <c r="H99" i="27" s="1"/>
  <c r="G131" i="34"/>
  <c r="H131" i="34" s="1"/>
  <c r="H123" i="34" s="1"/>
  <c r="F20" i="34" l="1"/>
  <c r="F141" i="34"/>
  <c r="H141" i="34" s="1"/>
  <c r="H140" i="34"/>
  <c r="H139" i="34"/>
  <c r="F106" i="34"/>
  <c r="H106" i="34" s="1"/>
  <c r="F104" i="34"/>
  <c r="H104" i="34" s="1"/>
  <c r="F102" i="34"/>
  <c r="H102" i="34" s="1"/>
  <c r="F100" i="34"/>
  <c r="H100" i="34" s="1"/>
  <c r="F98" i="34"/>
  <c r="H98" i="34" s="1"/>
  <c r="F96" i="34"/>
  <c r="H96" i="34" s="1"/>
  <c r="F93" i="34"/>
  <c r="H93" i="34" s="1"/>
  <c r="F91" i="34"/>
  <c r="H91" i="34" s="1"/>
  <c r="F89" i="34"/>
  <c r="H89" i="34" s="1"/>
  <c r="F84" i="34"/>
  <c r="H84" i="34" s="1"/>
  <c r="F82" i="34"/>
  <c r="H82" i="34" s="1"/>
  <c r="F80" i="34"/>
  <c r="H80" i="34" s="1"/>
  <c r="F78" i="34"/>
  <c r="H78" i="34" s="1"/>
  <c r="H75" i="34"/>
  <c r="F47" i="34"/>
  <c r="H47" i="34" s="1"/>
  <c r="H16" i="34"/>
  <c r="H15" i="34"/>
  <c r="H14" i="34"/>
  <c r="H13" i="34"/>
  <c r="H12" i="34"/>
  <c r="H11" i="34"/>
  <c r="F88" i="33"/>
  <c r="F89" i="33" s="1"/>
  <c r="F17" i="34" l="1"/>
  <c r="H17" i="34" s="1"/>
  <c r="H61" i="34"/>
  <c r="H138" i="34"/>
  <c r="F40" i="34"/>
  <c r="H40" i="34" s="1"/>
  <c r="F72" i="34"/>
  <c r="H72" i="34" s="1"/>
  <c r="F86" i="34"/>
  <c r="H86" i="34" s="1"/>
  <c r="H49" i="34"/>
  <c r="F53" i="34"/>
  <c r="H53" i="34" s="1"/>
  <c r="F90" i="33"/>
  <c r="H90" i="33" s="1"/>
  <c r="H88" i="33"/>
  <c r="F71" i="33"/>
  <c r="F73" i="33"/>
  <c r="F69" i="33"/>
  <c r="F67" i="33"/>
  <c r="F65" i="33"/>
  <c r="F63" i="33"/>
  <c r="F60" i="33"/>
  <c r="F58" i="33"/>
  <c r="F56" i="33"/>
  <c r="F54" i="33"/>
  <c r="F53" i="33"/>
  <c r="F51" i="33"/>
  <c r="F49" i="33"/>
  <c r="F47" i="33"/>
  <c r="F45" i="33"/>
  <c r="F43" i="33"/>
  <c r="F40" i="33"/>
  <c r="F37" i="33"/>
  <c r="F28" i="33"/>
  <c r="F23" i="33"/>
  <c r="H10" i="34" l="1"/>
  <c r="H9" i="34" s="1"/>
  <c r="H89" i="33"/>
  <c r="H87" i="33" s="1"/>
  <c r="F26" i="33"/>
  <c r="F21" i="33"/>
  <c r="H143" i="34" l="1"/>
  <c r="H145" i="34" s="1"/>
  <c r="G36" i="2" s="1"/>
  <c r="H26" i="33" l="1"/>
  <c r="F18" i="33"/>
  <c r="F17" i="33" s="1"/>
  <c r="H17" i="33" s="1"/>
  <c r="F72" i="33"/>
  <c r="H72" i="33" s="1"/>
  <c r="F70" i="33"/>
  <c r="H70" i="33" s="1"/>
  <c r="F68" i="33"/>
  <c r="H68" i="33" s="1"/>
  <c r="F66" i="33"/>
  <c r="H66" i="33" s="1"/>
  <c r="F64" i="33"/>
  <c r="H64" i="33" s="1"/>
  <c r="F62" i="33"/>
  <c r="H62" i="33" s="1"/>
  <c r="F59" i="33"/>
  <c r="H59" i="33" s="1"/>
  <c r="F57" i="33"/>
  <c r="H57" i="33" s="1"/>
  <c r="F55" i="33"/>
  <c r="H55" i="33" s="1"/>
  <c r="F50" i="33"/>
  <c r="H50" i="33" s="1"/>
  <c r="F48" i="33"/>
  <c r="H48" i="33" s="1"/>
  <c r="F46" i="33"/>
  <c r="H46" i="33" s="1"/>
  <c r="F44" i="33"/>
  <c r="H44" i="33" s="1"/>
  <c r="F42" i="33"/>
  <c r="H42" i="33" s="1"/>
  <c r="F33" i="33"/>
  <c r="F31" i="33"/>
  <c r="H31" i="33" s="1"/>
  <c r="H21" i="33"/>
  <c r="H16" i="33"/>
  <c r="H15" i="33"/>
  <c r="H14" i="33"/>
  <c r="H13" i="33"/>
  <c r="H12" i="33"/>
  <c r="H11" i="33"/>
  <c r="F36" i="33" l="1"/>
  <c r="H36" i="33" s="1"/>
  <c r="F39" i="33"/>
  <c r="H39" i="33" s="1"/>
  <c r="H33" i="33"/>
  <c r="F35" i="33"/>
  <c r="H35" i="33" s="1"/>
  <c r="F52" i="33"/>
  <c r="H52" i="33" s="1"/>
  <c r="H10" i="33" l="1"/>
  <c r="F84" i="33"/>
  <c r="H84" i="33" s="1"/>
  <c r="F81" i="33"/>
  <c r="H81" i="33" s="1"/>
  <c r="F75" i="33"/>
  <c r="H75" i="33" s="1"/>
  <c r="F78" i="33"/>
  <c r="H78" i="33" s="1"/>
  <c r="H74" i="33" l="1"/>
  <c r="H9" i="33" s="1"/>
  <c r="F169" i="32"/>
  <c r="H176" i="32"/>
  <c r="F206" i="32"/>
  <c r="F205" i="32"/>
  <c r="F202" i="32"/>
  <c r="F201" i="32"/>
  <c r="F197" i="32"/>
  <c r="F196" i="32"/>
  <c r="F189" i="32"/>
  <c r="F188" i="32"/>
  <c r="F184" i="32"/>
  <c r="F185" i="32"/>
  <c r="F138" i="32"/>
  <c r="F137" i="32" s="1"/>
  <c r="H137" i="32" s="1"/>
  <c r="F204" i="32" l="1"/>
  <c r="F200" i="32"/>
  <c r="F195" i="32"/>
  <c r="F183" i="32"/>
  <c r="F187" i="32"/>
  <c r="F142" i="32"/>
  <c r="F133" i="32" l="1"/>
  <c r="H133" i="32" s="1"/>
  <c r="H92" i="33" l="1"/>
  <c r="H94" i="33" s="1"/>
  <c r="G35" i="2" s="1"/>
  <c r="F152" i="32" l="1"/>
  <c r="H152" i="32" s="1"/>
  <c r="F121" i="32"/>
  <c r="F123" i="32"/>
  <c r="H128" i="32"/>
  <c r="H127" i="32"/>
  <c r="H126" i="32"/>
  <c r="H125" i="32"/>
  <c r="G123" i="32" l="1"/>
  <c r="H123" i="32" s="1"/>
  <c r="F105" i="32" l="1"/>
  <c r="F103" i="32"/>
  <c r="F101" i="32"/>
  <c r="F99" i="32"/>
  <c r="F97" i="32"/>
  <c r="F95" i="32"/>
  <c r="F93" i="32" l="1"/>
  <c r="F90" i="32"/>
  <c r="F88" i="32"/>
  <c r="F86" i="32"/>
  <c r="F84" i="32"/>
  <c r="F83" i="32"/>
  <c r="F81" i="32"/>
  <c r="F79" i="32"/>
  <c r="F77" i="32"/>
  <c r="F75" i="32"/>
  <c r="F73" i="32"/>
  <c r="F71" i="32"/>
  <c r="F69" i="32" l="1"/>
  <c r="F68" i="32"/>
  <c r="F66" i="32"/>
  <c r="F64" i="32"/>
  <c r="F63" i="32"/>
  <c r="F56" i="32"/>
  <c r="F55" i="32"/>
  <c r="F54" i="32"/>
  <c r="F50" i="32"/>
  <c r="F47" i="32"/>
  <c r="F46" i="32"/>
  <c r="F45" i="32"/>
  <c r="F39" i="32"/>
  <c r="F60" i="32" l="1"/>
  <c r="F51" i="32"/>
  <c r="F42" i="32"/>
  <c r="F13" i="32"/>
  <c r="H13" i="32" s="1"/>
  <c r="F11" i="32"/>
  <c r="H11" i="32" s="1"/>
  <c r="F26" i="32" l="1"/>
  <c r="H26" i="32" s="1"/>
  <c r="F24" i="32"/>
  <c r="F21" i="32" s="1"/>
  <c r="H21" i="32" s="1"/>
  <c r="F19" i="32"/>
  <c r="F16" i="32" s="1"/>
  <c r="H16" i="32" s="1"/>
  <c r="H204" i="32"/>
  <c r="H200" i="32"/>
  <c r="H195" i="32"/>
  <c r="H187" i="32"/>
  <c r="H183" i="32"/>
  <c r="F179" i="32"/>
  <c r="H179" i="32" s="1"/>
  <c r="H178" i="32"/>
  <c r="H177" i="32"/>
  <c r="F173" i="32"/>
  <c r="H173" i="32" s="1"/>
  <c r="F166" i="32"/>
  <c r="H166" i="32" s="1"/>
  <c r="F159" i="32"/>
  <c r="H159" i="32" s="1"/>
  <c r="F150" i="32"/>
  <c r="H150" i="32" s="1"/>
  <c r="F147" i="32"/>
  <c r="F145" i="32" s="1"/>
  <c r="H145" i="32" s="1"/>
  <c r="F141" i="32"/>
  <c r="H141" i="32" s="1"/>
  <c r="F135" i="32"/>
  <c r="H135" i="32" s="1"/>
  <c r="F113" i="32"/>
  <c r="H120" i="32"/>
  <c r="H119" i="32"/>
  <c r="H118" i="32"/>
  <c r="H117" i="32"/>
  <c r="H116" i="32"/>
  <c r="H115" i="32"/>
  <c r="F104" i="32"/>
  <c r="F102" i="32"/>
  <c r="H102" i="32" s="1"/>
  <c r="F100" i="32"/>
  <c r="H100" i="32" s="1"/>
  <c r="F98" i="32"/>
  <c r="H98" i="32" s="1"/>
  <c r="F96" i="32"/>
  <c r="H96" i="32" s="1"/>
  <c r="F94" i="32"/>
  <c r="H94" i="32" s="1"/>
  <c r="F92" i="32"/>
  <c r="H92" i="32" s="1"/>
  <c r="F89" i="32"/>
  <c r="H89" i="32" s="1"/>
  <c r="F87" i="32"/>
  <c r="H87" i="32" s="1"/>
  <c r="F85" i="32"/>
  <c r="H85" i="32" s="1"/>
  <c r="F80" i="32"/>
  <c r="H80" i="32" s="1"/>
  <c r="F78" i="32"/>
  <c r="H78" i="32" s="1"/>
  <c r="F76" i="32"/>
  <c r="H76" i="32" s="1"/>
  <c r="F74" i="32"/>
  <c r="H74" i="32" s="1"/>
  <c r="F72" i="32"/>
  <c r="H72" i="32" s="1"/>
  <c r="H69" i="32"/>
  <c r="F67" i="32"/>
  <c r="H67" i="32" s="1"/>
  <c r="H60" i="32"/>
  <c r="F58" i="32"/>
  <c r="H58" i="32" s="1"/>
  <c r="F49" i="32"/>
  <c r="H49" i="32" s="1"/>
  <c r="H42" i="32"/>
  <c r="F38" i="32"/>
  <c r="H38" i="32" s="1"/>
  <c r="H37" i="32"/>
  <c r="H36" i="32"/>
  <c r="H35" i="32"/>
  <c r="H34" i="32"/>
  <c r="H33" i="32"/>
  <c r="H32" i="32"/>
  <c r="F29" i="32"/>
  <c r="H29" i="32" s="1"/>
  <c r="F115" i="31"/>
  <c r="H115" i="31" s="1"/>
  <c r="F112" i="31"/>
  <c r="H112" i="31" s="1"/>
  <c r="F108" i="31"/>
  <c r="H108" i="31" s="1"/>
  <c r="F104" i="31"/>
  <c r="H104" i="31" s="1"/>
  <c r="F101" i="31"/>
  <c r="H101" i="31" s="1"/>
  <c r="F98" i="31"/>
  <c r="H98" i="31" s="1"/>
  <c r="F75" i="31"/>
  <c r="F73" i="31" s="1"/>
  <c r="H73" i="31" s="1"/>
  <c r="H175" i="32" l="1"/>
  <c r="F156" i="32"/>
  <c r="H156" i="32" s="1"/>
  <c r="H51" i="32"/>
  <c r="F57" i="32"/>
  <c r="H57" i="32" s="1"/>
  <c r="F154" i="32"/>
  <c r="F157" i="32" s="1"/>
  <c r="H157" i="32" s="1"/>
  <c r="F158" i="32"/>
  <c r="H158" i="32" s="1"/>
  <c r="F82" i="32"/>
  <c r="F172" i="32"/>
  <c r="H172" i="32" s="1"/>
  <c r="G113" i="32"/>
  <c r="H113" i="32" s="1"/>
  <c r="H112" i="32" s="1"/>
  <c r="F170" i="32"/>
  <c r="H170" i="32" s="1"/>
  <c r="F168" i="32"/>
  <c r="F171" i="32" s="1"/>
  <c r="H171" i="32" s="1"/>
  <c r="H199" i="32"/>
  <c r="F163" i="32"/>
  <c r="H163" i="32" s="1"/>
  <c r="F161" i="32"/>
  <c r="F164" i="32" s="1"/>
  <c r="H164" i="32" s="1"/>
  <c r="F165" i="32"/>
  <c r="H165" i="32" s="1"/>
  <c r="H182" i="32"/>
  <c r="F106" i="32"/>
  <c r="H97" i="31"/>
  <c r="H111" i="31"/>
  <c r="H96" i="31" l="1"/>
  <c r="H82" i="32"/>
  <c r="G168" i="32"/>
  <c r="H168" i="32" s="1"/>
  <c r="H181" i="32"/>
  <c r="G154" i="32"/>
  <c r="H154" i="32" s="1"/>
  <c r="G161" i="32"/>
  <c r="H161" i="32" s="1"/>
  <c r="F107" i="32"/>
  <c r="H106" i="32"/>
  <c r="H132" i="32" l="1"/>
  <c r="H107" i="32"/>
  <c r="F108" i="32"/>
  <c r="H28" i="31"/>
  <c r="F94" i="31"/>
  <c r="H94" i="31" s="1"/>
  <c r="H93" i="31"/>
  <c r="F90" i="31"/>
  <c r="H90" i="31" s="1"/>
  <c r="F80" i="31"/>
  <c r="H80" i="31" s="1"/>
  <c r="F69" i="31"/>
  <c r="H69" i="31" s="1"/>
  <c r="F58" i="31"/>
  <c r="H65" i="31"/>
  <c r="H64" i="31"/>
  <c r="H63" i="31"/>
  <c r="H62" i="31"/>
  <c r="H61" i="31"/>
  <c r="H60" i="31"/>
  <c r="F49" i="31"/>
  <c r="H44" i="31"/>
  <c r="F42" i="31"/>
  <c r="H42" i="31" s="1"/>
  <c r="F37" i="31"/>
  <c r="H37" i="31" s="1"/>
  <c r="F34" i="31"/>
  <c r="F36" i="31" s="1"/>
  <c r="H36" i="31" s="1"/>
  <c r="F32" i="31"/>
  <c r="H32" i="31" s="1"/>
  <c r="H22" i="31"/>
  <c r="H21" i="31"/>
  <c r="H20" i="31"/>
  <c r="H19" i="31"/>
  <c r="H18" i="31"/>
  <c r="H17" i="31"/>
  <c r="F14" i="31"/>
  <c r="H14" i="31" s="1"/>
  <c r="F11" i="31"/>
  <c r="H11" i="31" s="1"/>
  <c r="F109" i="32" l="1"/>
  <c r="H109" i="32" s="1"/>
  <c r="H108" i="32"/>
  <c r="F82" i="31"/>
  <c r="H82" i="31" s="1"/>
  <c r="F83" i="31"/>
  <c r="H83" i="31" s="1"/>
  <c r="F78" i="31"/>
  <c r="F81" i="31" s="1"/>
  <c r="H81" i="31" s="1"/>
  <c r="F89" i="31"/>
  <c r="H89" i="31" s="1"/>
  <c r="F87" i="31"/>
  <c r="H87" i="31" s="1"/>
  <c r="H39" i="31"/>
  <c r="F85" i="31"/>
  <c r="F88" i="31" s="1"/>
  <c r="H88" i="31" s="1"/>
  <c r="H92" i="31"/>
  <c r="G58" i="31"/>
  <c r="H58" i="31" s="1"/>
  <c r="H57" i="31" s="1"/>
  <c r="F51" i="31"/>
  <c r="H34" i="31"/>
  <c r="G104" i="32" l="1"/>
  <c r="H104" i="32" s="1"/>
  <c r="G78" i="31"/>
  <c r="H78" i="31" s="1"/>
  <c r="G85" i="31"/>
  <c r="H85" i="31" s="1"/>
  <c r="F52" i="31"/>
  <c r="H51" i="31"/>
  <c r="H10" i="32" l="1"/>
  <c r="H9" i="32" s="1"/>
  <c r="H208" i="32" s="1"/>
  <c r="H210" i="32" s="1"/>
  <c r="G40" i="2" s="1"/>
  <c r="H68" i="31"/>
  <c r="F53" i="31"/>
  <c r="H52" i="31"/>
  <c r="F54" i="31" l="1"/>
  <c r="H54" i="31" s="1"/>
  <c r="H53" i="31"/>
  <c r="G49" i="31" l="1"/>
  <c r="H49" i="31" s="1"/>
  <c r="H10" i="31" s="1"/>
  <c r="H9" i="31" s="1"/>
  <c r="H118" i="31" s="1"/>
  <c r="H120" i="31" l="1"/>
  <c r="G37" i="2" s="1"/>
  <c r="F41" i="23" l="1"/>
  <c r="F40" i="23"/>
  <c r="F38" i="23" s="1"/>
  <c r="H38" i="23" l="1"/>
  <c r="F50" i="23" l="1"/>
  <c r="F44" i="23"/>
  <c r="F22" i="27" l="1"/>
  <c r="F20" i="27" s="1"/>
  <c r="F135" i="27" l="1"/>
  <c r="H135" i="27" s="1"/>
  <c r="F11" i="27"/>
  <c r="F98" i="27" l="1"/>
  <c r="F96" i="27"/>
  <c r="F95" i="27" s="1"/>
  <c r="H95" i="27" s="1"/>
  <c r="F94" i="27"/>
  <c r="F93" i="27" s="1"/>
  <c r="H93" i="27" s="1"/>
  <c r="F92" i="27"/>
  <c r="F58" i="27"/>
  <c r="H58" i="27" s="1"/>
  <c r="F55" i="27"/>
  <c r="H55" i="27" s="1"/>
  <c r="F50" i="27"/>
  <c r="F90" i="27" s="1"/>
  <c r="F46" i="27"/>
  <c r="F42" i="27"/>
  <c r="F41" i="27" s="1"/>
  <c r="F86" i="27" s="1"/>
  <c r="F35" i="27"/>
  <c r="F33" i="27" s="1"/>
  <c r="H33" i="27" s="1"/>
  <c r="F31" i="27"/>
  <c r="F27" i="27"/>
  <c r="F45" i="27" l="1"/>
  <c r="F97" i="27" l="1"/>
  <c r="H97" i="27" s="1"/>
  <c r="F89" i="27"/>
  <c r="H89" i="27" s="1"/>
  <c r="F52" i="27"/>
  <c r="H52" i="27" s="1"/>
  <c r="F49" i="27"/>
  <c r="H49" i="27" s="1"/>
  <c r="H45" i="27"/>
  <c r="F29" i="27"/>
  <c r="H29" i="27" s="1"/>
  <c r="F25" i="27"/>
  <c r="H25" i="27" s="1"/>
  <c r="H20" i="27"/>
  <c r="H11" i="27"/>
  <c r="H41" i="27" l="1"/>
  <c r="F85" i="27"/>
  <c r="H85" i="27" s="1"/>
  <c r="F87" i="27"/>
  <c r="H87" i="27" s="1"/>
  <c r="F91" i="27"/>
  <c r="H91" i="27" s="1"/>
  <c r="F140" i="27" l="1"/>
  <c r="F154" i="27"/>
  <c r="F158" i="27" s="1"/>
  <c r="H158" i="27" s="1"/>
  <c r="F125" i="27"/>
  <c r="F124" i="27" s="1"/>
  <c r="H124" i="27" s="1"/>
  <c r="F126" i="27"/>
  <c r="H126" i="27" s="1"/>
  <c r="F153" i="27" l="1"/>
  <c r="F156" i="27" s="1"/>
  <c r="H156" i="27" s="1"/>
  <c r="F155" i="27"/>
  <c r="H155" i="27" s="1"/>
  <c r="F157" i="27"/>
  <c r="H157" i="27" s="1"/>
  <c r="F151" i="27"/>
  <c r="H151" i="27" s="1"/>
  <c r="F144" i="27"/>
  <c r="H144" i="27" s="1"/>
  <c r="G153" i="27" l="1"/>
  <c r="H153" i="27" s="1"/>
  <c r="F148" i="27"/>
  <c r="H148" i="27" s="1"/>
  <c r="F143" i="27"/>
  <c r="H143" i="27" s="1"/>
  <c r="F150" i="27"/>
  <c r="H150" i="27" s="1"/>
  <c r="F141" i="27"/>
  <c r="H141" i="27" s="1"/>
  <c r="F139" i="27"/>
  <c r="F142" i="27" s="1"/>
  <c r="H142" i="27" s="1"/>
  <c r="F146" i="27"/>
  <c r="F149" i="27" s="1"/>
  <c r="H149" i="27" s="1"/>
  <c r="G146" i="27" l="1"/>
  <c r="H146" i="27" s="1"/>
  <c r="G139" i="27"/>
  <c r="H139" i="27" s="1"/>
  <c r="H121" i="27" l="1"/>
  <c r="F118" i="27"/>
  <c r="F117" i="27"/>
  <c r="F109" i="27"/>
  <c r="F108" i="27" s="1"/>
  <c r="H108" i="27" s="1"/>
  <c r="F115" i="27"/>
  <c r="F113" i="27" l="1"/>
  <c r="F112" i="27" s="1"/>
  <c r="H112" i="27" s="1"/>
  <c r="F111" i="27"/>
  <c r="F110" i="27" s="1"/>
  <c r="H110" i="27" s="1"/>
  <c r="F162" i="27"/>
  <c r="H162" i="27" s="1"/>
  <c r="F114" i="27"/>
  <c r="H114" i="27" s="1"/>
  <c r="F77" i="27"/>
  <c r="H77" i="27" s="1"/>
  <c r="F80" i="27"/>
  <c r="F75" i="27"/>
  <c r="F74" i="27" s="1"/>
  <c r="H74" i="27" s="1"/>
  <c r="F73" i="27"/>
  <c r="F72" i="27"/>
  <c r="F63" i="27"/>
  <c r="F62" i="27"/>
  <c r="F66" i="27"/>
  <c r="F69" i="27"/>
  <c r="F67" i="27" s="1"/>
  <c r="H67" i="27" s="1"/>
  <c r="H80" i="27" l="1"/>
  <c r="F116" i="27"/>
  <c r="H116" i="27" s="1"/>
  <c r="H107" i="27" s="1"/>
  <c r="H161" i="27"/>
  <c r="H160" i="27" s="1"/>
  <c r="F70" i="27"/>
  <c r="H70" i="27" s="1"/>
  <c r="F61" i="27"/>
  <c r="H61" i="27" s="1"/>
  <c r="F64" i="27"/>
  <c r="H64" i="27" s="1"/>
  <c r="H10" i="27" l="1"/>
  <c r="H9" i="27" s="1"/>
  <c r="F16" i="26"/>
  <c r="F15" i="26" s="1"/>
  <c r="H15" i="26" s="1"/>
  <c r="F53" i="26"/>
  <c r="H53" i="26" s="1"/>
  <c r="H52" i="26"/>
  <c r="F42" i="26"/>
  <c r="H42" i="26" s="1"/>
  <c r="F37" i="26"/>
  <c r="F41" i="26" s="1"/>
  <c r="H41" i="26" s="1"/>
  <c r="F13" i="26"/>
  <c r="H13" i="26" s="1"/>
  <c r="F11" i="26"/>
  <c r="H11" i="26" s="1"/>
  <c r="F12" i="25"/>
  <c r="F13" i="25"/>
  <c r="F15" i="25"/>
  <c r="F17" i="25"/>
  <c r="H51" i="26" l="1"/>
  <c r="F39" i="26"/>
  <c r="H39" i="26" s="1"/>
  <c r="F40" i="26"/>
  <c r="H40" i="26" s="1"/>
  <c r="H10" i="26"/>
  <c r="F30" i="25"/>
  <c r="F29" i="25"/>
  <c r="F28" i="25"/>
  <c r="H164" i="27" l="1"/>
  <c r="H166" i="27" s="1"/>
  <c r="G43" i="2" s="1"/>
  <c r="G37" i="26"/>
  <c r="H37" i="26" s="1"/>
  <c r="H17" i="26" s="1"/>
  <c r="F21" i="25"/>
  <c r="F20" i="25"/>
  <c r="F36" i="25"/>
  <c r="F35" i="25" s="1"/>
  <c r="H35" i="25" s="1"/>
  <c r="F16" i="25"/>
  <c r="H16" i="25" s="1"/>
  <c r="F71" i="25"/>
  <c r="H71" i="25" s="1"/>
  <c r="H70" i="25"/>
  <c r="F53" i="25"/>
  <c r="H53" i="25" s="1"/>
  <c r="F48" i="25"/>
  <c r="F52" i="25" s="1"/>
  <c r="H52" i="25" s="1"/>
  <c r="F46" i="25"/>
  <c r="H46" i="25" s="1"/>
  <c r="F42" i="25"/>
  <c r="F45" i="25" s="1"/>
  <c r="H45" i="25" s="1"/>
  <c r="F26" i="25"/>
  <c r="F14" i="25"/>
  <c r="H14" i="25" s="1"/>
  <c r="F11" i="25"/>
  <c r="H11" i="25" s="1"/>
  <c r="F20" i="23"/>
  <c r="H20" i="23" s="1"/>
  <c r="H9" i="26" l="1"/>
  <c r="H55" i="26" s="1"/>
  <c r="H57" i="26" s="1"/>
  <c r="G42" i="2" s="1"/>
  <c r="F19" i="25"/>
  <c r="F50" i="25"/>
  <c r="H50" i="25" s="1"/>
  <c r="F51" i="25"/>
  <c r="H51" i="25" s="1"/>
  <c r="H69" i="25"/>
  <c r="F44" i="25"/>
  <c r="H44" i="25" s="1"/>
  <c r="G42" i="25" s="1"/>
  <c r="H42" i="25" s="1"/>
  <c r="H10" i="25"/>
  <c r="H26" i="25"/>
  <c r="H19" i="25" l="1"/>
  <c r="G48" i="25"/>
  <c r="H48" i="25" s="1"/>
  <c r="F15" i="23"/>
  <c r="F26" i="23"/>
  <c r="F13" i="23"/>
  <c r="F12" i="23"/>
  <c r="F28" i="23"/>
  <c r="H18" i="25" l="1"/>
  <c r="H9" i="25" s="1"/>
  <c r="H73" i="25" s="1"/>
  <c r="H75" i="25" s="1"/>
  <c r="G39" i="2" s="1"/>
  <c r="F11" i="23"/>
  <c r="F27" i="23"/>
  <c r="F24" i="23" s="1"/>
  <c r="F34" i="23"/>
  <c r="F37" i="23" l="1"/>
  <c r="F36" i="23"/>
  <c r="F17" i="23"/>
  <c r="F58" i="23"/>
  <c r="H58" i="23" s="1"/>
  <c r="H57" i="23"/>
  <c r="F35" i="23" l="1"/>
  <c r="H56" i="23"/>
  <c r="F33" i="23"/>
  <c r="H24" i="23"/>
  <c r="H33" i="23" l="1"/>
  <c r="H35" i="23"/>
  <c r="F54" i="23"/>
  <c r="H54" i="23" s="1"/>
  <c r="F47" i="23"/>
  <c r="H47" i="23" s="1"/>
  <c r="F49" i="23" l="1"/>
  <c r="F52" i="23" s="1"/>
  <c r="H52" i="23" s="1"/>
  <c r="F43" i="23"/>
  <c r="F53" i="23" l="1"/>
  <c r="H53" i="23" s="1"/>
  <c r="F51" i="23"/>
  <c r="H51" i="23" s="1"/>
  <c r="F46" i="23"/>
  <c r="H46" i="23" s="1"/>
  <c r="F45" i="23"/>
  <c r="H45" i="23" s="1"/>
  <c r="G43" i="23" l="1"/>
  <c r="H43" i="23" s="1"/>
  <c r="H19" i="23" s="1"/>
  <c r="G49" i="23"/>
  <c r="H49" i="23" s="1"/>
  <c r="F16" i="23"/>
  <c r="H16" i="23" s="1"/>
  <c r="F14" i="23"/>
  <c r="H14" i="23" s="1"/>
  <c r="I42" i="2"/>
  <c r="F42" i="2" s="1"/>
  <c r="G41" i="2"/>
  <c r="G38" i="2"/>
  <c r="I39" i="2"/>
  <c r="F39" i="2" s="1"/>
  <c r="I41" i="2" l="1"/>
  <c r="H11" i="23"/>
  <c r="H10" i="23" s="1"/>
  <c r="F41" i="2"/>
  <c r="I40" i="2"/>
  <c r="F40" i="2" s="1"/>
  <c r="H9" i="23" l="1"/>
  <c r="F38" i="2"/>
  <c r="I38" i="2"/>
  <c r="H60" i="23" l="1"/>
  <c r="H62" i="23" s="1"/>
  <c r="G34" i="2" s="1"/>
  <c r="G31" i="3" l="1"/>
  <c r="I35" i="2" l="1"/>
  <c r="I37" i="2"/>
  <c r="F37" i="2" s="1"/>
  <c r="C37" i="3"/>
  <c r="G33" i="3"/>
  <c r="G29" i="3"/>
  <c r="G28" i="3"/>
  <c r="G20" i="3"/>
  <c r="G19" i="3"/>
  <c r="G15" i="3"/>
  <c r="G8" i="3"/>
  <c r="I34" i="2"/>
  <c r="F34" i="2" s="1"/>
  <c r="H30" i="2"/>
  <c r="G30" i="2"/>
  <c r="I36" i="2" l="1"/>
  <c r="F36" i="2" s="1"/>
  <c r="G33" i="2"/>
  <c r="G37" i="3"/>
  <c r="G32" i="2" s="1"/>
  <c r="F35" i="2"/>
  <c r="I32" i="2" l="1"/>
  <c r="G44" i="2"/>
  <c r="I33" i="2"/>
  <c r="F33" i="2"/>
  <c r="F32" i="2" l="1"/>
  <c r="I43" i="2"/>
  <c r="I44" i="2" s="1"/>
  <c r="I20" i="2" l="1"/>
  <c r="I21" i="2"/>
  <c r="F43" i="2"/>
  <c r="F44" i="2" s="1"/>
  <c r="I24" i="2" l="1"/>
</calcChain>
</file>

<file path=xl/sharedStrings.xml><?xml version="1.0" encoding="utf-8"?>
<sst xmlns="http://schemas.openxmlformats.org/spreadsheetml/2006/main" count="2364" uniqueCount="840">
  <si>
    <t>Stavba :</t>
  </si>
  <si>
    <t xml:space="preserve">Investor : </t>
  </si>
  <si>
    <t>Královehradecký kraj, Pivovarské náměstí 1245, 500 03 Hradec Králové</t>
  </si>
  <si>
    <t xml:space="preserve">Zhotovitel : </t>
  </si>
  <si>
    <t>TECHNICO Opava s.r.o., Hradecká 1576/51, 746 01 Opava</t>
  </si>
  <si>
    <t xml:space="preserve">Vypracoval: </t>
  </si>
  <si>
    <t>Ing. Petr Kurečka</t>
  </si>
  <si>
    <t>Za investora :</t>
  </si>
  <si>
    <t>_______________</t>
  </si>
  <si>
    <t>Rozpočtové náklady</t>
  </si>
  <si>
    <t>Základ pro DPH</t>
  </si>
  <si>
    <t>%</t>
  </si>
  <si>
    <t xml:space="preserve">DPH </t>
  </si>
  <si>
    <t>Cena celkem za stavbu</t>
  </si>
  <si>
    <t>Rekapitulace stavebních objektů a provozních souborů</t>
  </si>
  <si>
    <t>Číslo a název objektu / provozního souboru</t>
  </si>
  <si>
    <t>Cena celkem</t>
  </si>
  <si>
    <t>DPH celkem</t>
  </si>
  <si>
    <t>Celkem</t>
  </si>
  <si>
    <t>Vedlejší rozpočtové a ostatní náklady</t>
  </si>
  <si>
    <t xml:space="preserve">ZPEVNĚNÉ PLOCHY + SADOVÉ ÚPRAVY </t>
  </si>
  <si>
    <t>Celkem za stavbu</t>
  </si>
  <si>
    <t>Poznámka:</t>
  </si>
  <si>
    <t>Vedlejší rozpočtové náklady, náklady na provoz a zařízení staveniště, apod. a přesuny hmot u PSV jsou zahrnuty v jednotkových cenách jednotlivých položek - není-li uvedeno jinak.</t>
  </si>
  <si>
    <t>V souladu se zákonem o veřejných zakázkách č.134/2016 Sb. uvedené odkazy na typový výrobek v této dokumentaci slouží pouze pro specifikaci technických parametrů a jejich kvalitativního standardu.</t>
  </si>
  <si>
    <t>Objekt :</t>
  </si>
  <si>
    <t>VEDLEJŠÍ  ROZPOČTOVÉ A OSTATNÍ NÁKLADY</t>
  </si>
  <si>
    <t>Díl:</t>
  </si>
  <si>
    <t>000</t>
  </si>
  <si>
    <t>Např. dle §8, §9, §10 apod. vyhlášky č.169/2016 Sb., rozpočtových standardů apod.</t>
  </si>
  <si>
    <t>Cenová soustava</t>
  </si>
  <si>
    <t>011002001 RTO</t>
  </si>
  <si>
    <t>Průzkumné, geodetické a projektové práce</t>
  </si>
  <si>
    <t>sada</t>
  </si>
  <si>
    <t>" - Zajištění průzkumů, zkoušek, atestů, sond a revizí apod. uvedených v rozhodnutích a v projektové dokumetnaci nezbytně nutných k provedení díla. "</t>
  </si>
  <si>
    <t>" - Zpracování harmonogramu bouracích prací. "</t>
  </si>
  <si>
    <t>" - Vytýčení inženýrských sítí  - vč. případných kopaných sond, vč. projednání se správci, apod. "</t>
  </si>
  <si>
    <t>" - Provedení veškerých měření, zkoušek provedených násypů, revizních zpráv apod. dle platné legislativy a dle SoD. "</t>
  </si>
  <si>
    <t>" - Provádění chemických analýz vzorků bouraných materiálů. "</t>
  </si>
  <si>
    <t>" - Ostatní průzkumné, geodetické a projektové práce. "</t>
  </si>
  <si>
    <t>011002002 RTO</t>
  </si>
  <si>
    <t>Zařízení staveniště</t>
  </si>
  <si>
    <t>" - Vybavení a provoz staveniště, bezpečnostní hrazení, oplocení, zajištění přístupu na staveniště, zajištění ostraha majetku osob v průběhu realizace stavby a až do předání stavby do užívání, zabezpečení staveniště, vnější stavby a ploch dotčených stavbou, vybavení proti odcizení a škodám, uvedení pozemků a všech povrchů dotčených stavbou včetně zařízení staveniště do původního stavu či do stavu dle Sod, PD, požadavků investora, uživatele apod. po zrušení staveniště. "</t>
  </si>
  <si>
    <t>" - Dopravní opatření - dopravní a informační značení na komunikacích pro motorová a nemotorová vozidla a pro pěší, zajištění průchodů apod., projednání s příslušným odborem dopravy, zajištění údržby, čištění apod. dopravního značení a komunikací apod."</t>
  </si>
  <si>
    <t>" - Bezpečnostní opatření na ochranu osob a majetku v rozsahu platné legislativy a dle podmínek v SoD."</t>
  </si>
  <si>
    <t>011002003 RTO</t>
  </si>
  <si>
    <t>Zařízení staveniště - náklady za ztížené podmínky - např. odvoz suti aut nižší kapacity z důvodu omezeného prostoru</t>
  </si>
  <si>
    <t>011002004 RTO</t>
  </si>
  <si>
    <t>Inženýrská činnost</t>
  </si>
  <si>
    <t>" - Zajištění a projednání všech nezbytných administrativních úkonů spojených s realizací stavby. "</t>
  </si>
  <si>
    <t>" - Zajištění kompletační a koordinační činnosti spojených s realizací stavby, jednání s dotčenými institucemi, s dotčenými orgány státní správy a samosprávy. "</t>
  </si>
  <si>
    <t>" - Součinnost se všemi zúčastněnými stranami - investorem, budoucím uživatelem, prjektantem, zástupci organizací státní správy, koordinátorem BOZP apod. "</t>
  </si>
  <si>
    <t>" - Zajištění splnění podmínek vyplývajících z vydaných rozhodnutí a povolení apod. "</t>
  </si>
  <si>
    <t>" - Spolupráce na technických řešení stavby odchylek zjištěných v průběhu stavby. "</t>
  </si>
  <si>
    <t>" - Technická řešení rozdílů skutečně zjištěného stavu se stavem předpokládaného projektantem apod. "</t>
  </si>
  <si>
    <t>" - Ostatní inženýrská činnost. "</t>
  </si>
  <si>
    <t>011002005 RTO</t>
  </si>
  <si>
    <t>Územní vlivy</t>
  </si>
  <si>
    <t>011002006 RTO</t>
  </si>
  <si>
    <t>Provozní vlivy</t>
  </si>
  <si>
    <t>" - Náklady způsobené silničním provozem a provozem třetích osob a nelze jej v průběhu stavby vyloučit. "                " - Náklady spojené s pracemi v ochranných pásmech. "
" - Náklady spojené s dočasnými zábory na pozemcích mimo vlastnictví investora."</t>
  </si>
  <si>
    <t>011002007 RTO</t>
  </si>
  <si>
    <t>Ostatní náklady</t>
  </si>
  <si>
    <t>" - Provedení ochrany sítí dotčených demolicí. "</t>
  </si>
  <si>
    <t>" - Dočasná ochrana, zakrytí, zajištění, úprava, případná demontáž a zpětná montáž stávajících konstrukcí a prvků během bouracích prací. "</t>
  </si>
  <si>
    <t>" - Ostatní náklady. "</t>
  </si>
  <si>
    <t>Celkem za</t>
  </si>
  <si>
    <t>Jednotkové ceny zahrnují náklady na  dodávku a montáž, dopravu, předepsané zkoušky, revize, manipulační řády, zaškolení obsluhy, veškeré a kompletní náklady není-li uvedeno jinak.</t>
  </si>
  <si>
    <t>Způsob ocenění vlastních položek: Jednotková cena u položek s cenovou soustavou CS ÚRS/TEO se tvoří spojováním položek jednotlivých stavebních prací a dodávek. Základním předpokladem pro kalkulaci je volba kalkulačního vzorce a jeho jednotlivých složek, jejichž počet závisí na charakteru stavební výroby a organizace firmy. Kalkulační vzorec reprezentuje stanovená struktura výpočtu (odhadu ceny), kterou tvoří kalkulační složky s jednoznačně určeným obsahem. Kalkulační vzorec slouží ke stanovení vlastních nákladů kalkulačních jednotek (stavebního konstrukčního prvku, objektu, stavby apod.). Ve stavebních firmách se nejčastěji používá následující vzorec. 
Kalkulační vzorec: Jednotková cena = Materiál + Přímé náklady + Nepřímé náklady + Zisk
                              Přímé náklady = Mzdy + Stroje + Ostatní přímé náklady
                              Nepřímé náklady = Režie výrobní + Režie správní</t>
  </si>
  <si>
    <t>Kalkulační vzorec vychází ze standardu "Rozpočtování a oceňování stavebních prací " ÚRS Praha, a.s.</t>
  </si>
  <si>
    <t>Výkazy množství u jednotlivých položek vychází z projektové dokumentace a jsou automaticky generovány grafickým a rozpočtovacím programem.</t>
  </si>
  <si>
    <t>P.Č.</t>
  </si>
  <si>
    <t>KCN</t>
  </si>
  <si>
    <t>Kód položky</t>
  </si>
  <si>
    <t>Popis</t>
  </si>
  <si>
    <t>MJ</t>
  </si>
  <si>
    <t>Množství celkem</t>
  </si>
  <si>
    <t>Cena jednotková</t>
  </si>
  <si>
    <t>1</t>
  </si>
  <si>
    <t>2</t>
  </si>
  <si>
    <t>3</t>
  </si>
  <si>
    <t>4</t>
  </si>
  <si>
    <t>5</t>
  </si>
  <si>
    <t>6</t>
  </si>
  <si>
    <t>7</t>
  </si>
  <si>
    <t>M</t>
  </si>
  <si>
    <t>Práce a dodávky M</t>
  </si>
  <si>
    <t>21-M</t>
  </si>
  <si>
    <t>CELKEM</t>
  </si>
  <si>
    <t>Jednotkové položky zahrnují vedlejší rozpočtové náklady, náklady na montáž, dopravu, apod. a předepsané zkoušky, revize, manipulační řády, zaškolení obsluhy, není-li uvedeno jinak.</t>
  </si>
  <si>
    <t>Způsob ocenění vlastních položek: Jednotková cena u položek s cenovou soustavou CS ÚRS/TEO se tvoří spojováním položek jednotlivých stavebních prací a dodávek. Základním předpokladem pro kalkulaci je volba kalkulačního vzorce a jeho jednotlivých složek, jejichž počet závisí na charakteru stavební výroby a organizace firmy. Kalkulační vzorec reprezentuje stanovená struktura výpočtu (odhadu ceny), kterou tvoří kalkulační složky s jednoznačně určeným obsahem. Kalkulační vzorec slouží ke stanovení vlastních nákladů kalkulačních jednotek (stavebního konstrukčního prvku, objektu, stavby apod.) Ve stavebních firmách se nejčastěji používá následující vzorec. 
Kalkulační vzorec: Jednotková cena = Materiál + Přímé náklady + Nepřímé náklady + Zisk
                              Přímé náklady = Mzdy + Stroje + Ostatní přímé náklady
                              Nepřímé náklady = Režie výrobní + Režie správní</t>
  </si>
  <si>
    <t>Část:   BOURACÍ PRÁCE</t>
  </si>
  <si>
    <t>JKSO:   937, 823</t>
  </si>
  <si>
    <t>HSV</t>
  </si>
  <si>
    <t>Práce a dodávky HSV</t>
  </si>
  <si>
    <t>Zemní práce</t>
  </si>
  <si>
    <t>001</t>
  </si>
  <si>
    <t>Odstranění křovin a stromů průměru kmene do 100 mm i s kořeny sklonu terénu do 1:5 z celkové plochy přes 100 do 500 m2 strojně</t>
  </si>
  <si>
    <t>m2</t>
  </si>
  <si>
    <t>" Odstranění keřů nutných pro provedení bouracích prací. "</t>
  </si>
  <si>
    <t>" V ceně zahrnut i zásyp po vybourání kořenových částí, vyrovnání povrchu. "</t>
  </si>
  <si>
    <t>Odstranění stromů listnatých průměru kmene do 300 mm</t>
  </si>
  <si>
    <t>kus</t>
  </si>
  <si>
    <t>" Kácení stromů nutných pro provedení bouracích prací "</t>
  </si>
  <si>
    <t>" V ceně obsaženo kácení, odvětvení a uložení dřevin na skládku k přípravě na likvidaci "</t>
  </si>
  <si>
    <t>Odstranění stromů listnatých průměru kmene do 500 mm</t>
  </si>
  <si>
    <t>Odstranění stromů listnatých průměru kmene do 700 mm</t>
  </si>
  <si>
    <t>Odstranění pařezů D do 300 mm</t>
  </si>
  <si>
    <t>" V ceně obsaženo vykopání a uložení pařezů na skládku k přípravě na likvidaci "</t>
  </si>
  <si>
    <t>Odstranění pařezů D do 500 mm</t>
  </si>
  <si>
    <t>Odstranění pařezů D do 700 mm</t>
  </si>
  <si>
    <t>Odstranění pařezů D do 900 mm</t>
  </si>
  <si>
    <t>Rozebrání dlažeb ze zámkových dlaždic komunikací pro pěší ručně</t>
  </si>
  <si>
    <t>Odstranění podkladu z kameniva drceného tl 200 mm ručně</t>
  </si>
  <si>
    <t>Vytrhání obrub krajníků obrubníků stojatých</t>
  </si>
  <si>
    <t>m</t>
  </si>
  <si>
    <t>" V ceně také vybourání lože. "</t>
  </si>
  <si>
    <t>Vytrhání obrub záhonových</t>
  </si>
  <si>
    <t>18</t>
  </si>
  <si>
    <t>221</t>
  </si>
  <si>
    <t xml:space="preserve">" Zásyp jam po pařezech výkopkem z horniny získané při dobývání pařezů s hrubým urovnáním povrchu " </t>
  </si>
  <si>
    <t>24</t>
  </si>
  <si>
    <t>m3</t>
  </si>
  <si>
    <t>103</t>
  </si>
  <si>
    <t>zemina pro terénní úpravy - tříděná</t>
  </si>
  <si>
    <t>t</t>
  </si>
  <si>
    <t>231</t>
  </si>
  <si>
    <t>Plošná úprava terénu do 500 m2 zemina tř 1 až 4 nerovnosti do 150 mm v rovinně a svahu do 1:5</t>
  </si>
  <si>
    <t>9</t>
  </si>
  <si>
    <t>Ostatní konstrukce a práce-bourání</t>
  </si>
  <si>
    <t>013</t>
  </si>
  <si>
    <t>32</t>
  </si>
  <si>
    <t>33</t>
  </si>
  <si>
    <t>997</t>
  </si>
  <si>
    <t>997999800 SPC</t>
  </si>
  <si>
    <t>Náklady spojené s odvozem a likvidací biologického odpadu</t>
  </si>
  <si>
    <t>997999901 SPC</t>
  </si>
  <si>
    <t>" - Nakládání suti na dopravní prostředky pro vodorovnou dopravu. "</t>
  </si>
  <si>
    <t>" - Vodorovná doprava suti ze sypkých materiálů do 1 km se složením a hrubým urovnáním. "</t>
  </si>
  <si>
    <t>" - Příplatek ZKD 1 km u vodorovné dopravy suti ze sypkých materiálů - uvažována skládka ve vzdálenosti do 6 km "</t>
  </si>
  <si>
    <t>" - Poplatek za uložení na skládce (skládkovné) zeminy a kamení kód odpadu 17 05 04 "</t>
  </si>
  <si>
    <t>997999902 SPC</t>
  </si>
  <si>
    <t>" - Vodorovná doprava suti z kusových materiálů do 1 km se složením a hrubým urovnáním. "</t>
  </si>
  <si>
    <t>" - Příplatek ZKD 1 km u vodorovné dopravy suti z kusových materiálů - uvažována skládka ve vzdálenosti do 6 km "</t>
  </si>
  <si>
    <t>" - Poplatek za uložení na skládce (skládkovné) stavebního odpadu železobetonového / betonového kód odpadu 17 01 01 "</t>
  </si>
  <si>
    <t>99</t>
  </si>
  <si>
    <t>Přesun hmot</t>
  </si>
  <si>
    <t>Přesun hmot pro sadovnické a krajinářské úpravy vodorovně do 5000 m</t>
  </si>
  <si>
    <t>HZS</t>
  </si>
  <si>
    <t>HZS1291</t>
  </si>
  <si>
    <t>Hodinová zúčtovací sazba pomocný stavební dělník</t>
  </si>
  <si>
    <t>hod</t>
  </si>
  <si>
    <t>ZPEVNĚNÉ PLOCHY + SADOVÉ ÚPRAVY - BOURACÍ PRÁCE</t>
  </si>
  <si>
    <t>Čerpání vody na dopravní výšku do 10 m průměrný přítok do 500 l/min</t>
  </si>
  <si>
    <t>Pohotovost čerpací soupravy pro dopravní výšku do 10 m přítok do 500 l/min</t>
  </si>
  <si>
    <t>den</t>
  </si>
  <si>
    <t>Dočasné zajištění potrubí ocelového nebo litinového DN do 500 mm</t>
  </si>
  <si>
    <t>Dočasné zajištění potrubí z PE DN do 500 mm</t>
  </si>
  <si>
    <t>Dočasné zajištění potrubí betonového, ŽB nebo kameninového DN do 500 mm</t>
  </si>
  <si>
    <t>Dočasné zajištění kabelů a kabelových tratí z 6 volně ložených kabelů</t>
  </si>
  <si>
    <t>Příplatek za ztížení vykopávky v blízkosti podzemního vedení</t>
  </si>
  <si>
    <t>Zásyp jam, šachet rýh nebo kolem objektů sypaninou se zhutněním</t>
  </si>
  <si>
    <t>" - Nakládání výkopku z hornin třídy těžitelnosti I, skupiny 1 až 3 do 100 m3 "</t>
  </si>
  <si>
    <t>" - Vodorovné přemístění do 6000 m výkopku/sypaniny z horniny třídy těžitelnosti I, skupiny 1 až 3 "</t>
  </si>
  <si>
    <t>" - Uložení sypaniny na skládky nebo meziskládky "</t>
  </si>
  <si>
    <t>" Stavební práce a dodávky spojené s provedením funkčního celku HSV - výpomoce, doplňkové práce a dodávky,kompletace apod. "</t>
  </si>
  <si>
    <t>Trubní vedení</t>
  </si>
  <si>
    <t>JKSO:   937</t>
  </si>
  <si>
    <t>Hloubení rýh zapažených š do 800 mm v hornině třídy těžitelnosti I, skupiny 3 objem do 20 m3 strojně</t>
  </si>
  <si>
    <t>Zřízení příložného pažení a rozepření stěn rýh hl do 2 m</t>
  </si>
  <si>
    <t>Odstranění příložného pažení a rozepření stěn rýh hl do 2 m</t>
  </si>
  <si>
    <t>Zhutnění podloží z hornin soudržných nebo nesoudržných pod násypy</t>
  </si>
  <si>
    <t>583</t>
  </si>
  <si>
    <t>58343930</t>
  </si>
  <si>
    <t>kamenivo drcené hrubé frakce 16/32</t>
  </si>
  <si>
    <t>Komunikace</t>
  </si>
  <si>
    <t>596999101 SPC</t>
  </si>
  <si>
    <t>D+M Konstrukce komunikace se živičným krytem - obnovení - Specifikace dle PD</t>
  </si>
  <si>
    <t>" V ceně : "</t>
  </si>
  <si>
    <t xml:space="preserve">" Cena skladby včetně ztratného " </t>
  </si>
  <si>
    <t xml:space="preserve">871999901 SPC </t>
  </si>
  <si>
    <t>Osazení silničního obrubníku betonového stojatého s boční opěrou do lože z betonu prostého třídy C 12/15</t>
  </si>
  <si>
    <t>971</t>
  </si>
  <si>
    <t>" - Poplatek za uložení na skládce (skládkovné) odpadu asfaltového bez dehtu kód odpadu 17 03 02 "</t>
  </si>
  <si>
    <t>Přesun hmot pro pozemní komunikace s krytem z kamene, monolitickým betonovým nebo živičným</t>
  </si>
  <si>
    <t>Přesun hmot pro trubní vedení z trub z plastických hmot otevřený výkop</t>
  </si>
  <si>
    <t>997999911 SPC</t>
  </si>
  <si>
    <t>" - Vnitrostaveništní doprava suti a vybouraných hmot pro budovy v do 6 m s použitím mechanizace "</t>
  </si>
  <si>
    <t>" - Vodorovná doprava suti s naložením a složením na skládku do 1 km "</t>
  </si>
  <si>
    <t>" - Příplatek k vodorovnému přemístění suti na skládku ZKD 1 km přes 1 km - uvažována skládka ve vzdálenosti do 6 km  "</t>
  </si>
  <si>
    <t>" - Poplatek za uložení na skládce (skládkovné) stavebního odpadu železobetonového kód odpadu 17 01 01 "</t>
  </si>
  <si>
    <t xml:space="preserve">Vybourání stávajícího potrubí vodovodu - Specifikace dle PD </t>
  </si>
  <si>
    <t>35</t>
  </si>
  <si>
    <t>Zřízení podsypu nebo podkladu ze sypaniny tl 300 mm</t>
  </si>
  <si>
    <t>997221625 RTO</t>
  </si>
  <si>
    <t>"  Včetně naložení, svislého a vodorovného přesunu suti, odvoz stavební suti.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odpadu. "</t>
  </si>
  <si>
    <t>006</t>
  </si>
  <si>
    <t>" V ceně také zohledněna svislá a vodorovná doprava v rámci objektu a na staveništní skládku. "</t>
  </si>
  <si>
    <t>Demolice konstrukcí objektů z betonu železového těžkou mechanizací</t>
  </si>
  <si>
    <t>997999910 SPC</t>
  </si>
  <si>
    <t>" - Poplatek za uložení na skládce (skládkovné) stavebního odpadu směsného kód odpadu 17 09 04 "</t>
  </si>
  <si>
    <t>" Plocha objektů dle měření plochy v rýsovacím programu "</t>
  </si>
  <si>
    <t>988999901 SPC</t>
  </si>
  <si>
    <t>8a</t>
  </si>
  <si>
    <t>8b</t>
  </si>
  <si>
    <t>8c</t>
  </si>
  <si>
    <t>Část:   ODPOJENÍ OD SILOVÉHO VEDENÍ</t>
  </si>
  <si>
    <t>968999901 SPC</t>
  </si>
  <si>
    <t>988</t>
  </si>
  <si>
    <t>997999912 SPC</t>
  </si>
  <si>
    <t>" -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sypaniny. "</t>
  </si>
  <si>
    <t>Odstranění podkladu živičného tl 200 mm ručně</t>
  </si>
  <si>
    <t xml:space="preserve">Obdělání půdy hrabáním v rovině a svahu do 1:5 </t>
  </si>
  <si>
    <t>Obdělání půdy válením v rovině a svahu do 1:5</t>
  </si>
  <si>
    <t>Zapískování travnatých ploch vrstvou tl. do 20 mm v rovině nebo na svahu do 1:5 plochy do 1000 m2</t>
  </si>
  <si>
    <t>581</t>
  </si>
  <si>
    <t>58154421 RTO</t>
  </si>
  <si>
    <t>křemičitý písek sušený pytlovaný 0,25-2mm</t>
  </si>
  <si>
    <t>Hnojení půdy umělým hnojivem na široko v rovině a svahu do 1:5</t>
  </si>
  <si>
    <t>251</t>
  </si>
  <si>
    <t>kg</t>
  </si>
  <si>
    <t>Ošetření trávníku shrabáním v rovině a ve svahu do 1:5</t>
  </si>
  <si>
    <t>Sejmutí ornice tl vrstvy do 200 mm ručně</t>
  </si>
  <si>
    <t>Rozprostření ornice tl vrstvy do 200 mm v rovině nebo ve svahu do 1:5 ručně</t>
  </si>
  <si>
    <t>005</t>
  </si>
  <si>
    <t>osivo směs travní parková</t>
  </si>
  <si>
    <t>Provzdušnění trávníku s přísevem travního osiva plochy do 1000 m2 v rovině nebo na svahu do 1:5</t>
  </si>
  <si>
    <t>Prořezání trávníku s přísevem plochy do 1000 m2 v rovině nebo na svahu do 1:5</t>
  </si>
  <si>
    <t>00572410</t>
  </si>
  <si>
    <t>Zalití rostlin vodou plocha do 20 m2</t>
  </si>
  <si>
    <t>Chemické odplevelení před založením kultury nad 20 m2 postřikem na široko v rovině a svahu do 1:5</t>
  </si>
  <si>
    <t xml:space="preserve">183911901 SPC </t>
  </si>
  <si>
    <t>Dvojnásobný postřik trávníku přípravkem podporující růst a zakořenění</t>
  </si>
  <si>
    <t xml:space="preserve">" V ceně i dodávka vody " </t>
  </si>
  <si>
    <t>250</t>
  </si>
  <si>
    <t>25099911 SPC</t>
  </si>
  <si>
    <t>stimulátor zakořenění a růstu trávníku</t>
  </si>
  <si>
    <t>l</t>
  </si>
  <si>
    <t>189999801 SPC</t>
  </si>
  <si>
    <t>971999901 SPC</t>
  </si>
  <si>
    <t>971999902 SPC</t>
  </si>
  <si>
    <t>D+M Výškové napojení nové skladby na stávající zpevněné plochy - nových asfaltových a betonových ploch - Specifikace dle PD</t>
  </si>
  <si>
    <t xml:space="preserve">" V ceně:
 - řezání asfaltového / betonového krytu; 
 - frézování;
 - zarovnání styčných ploch;
 - úprava čela betonového / asfaltového krytu;
 - spojovací penetrační postřik;
 - zpětná zálivka spar / předláždění stávající plochy;
 - odvoz a uložení vybouraných hmot;
 - další nutné práce související s provedením napojení nových ploch na stávající. "  </t>
  </si>
  <si>
    <t>Očištění vybouraných obrubníků a krajníků silničních</t>
  </si>
  <si>
    <t>Očištění vybouraných obrubníků a krajníků zahradních</t>
  </si>
  <si>
    <t>Osazení zahradního obrubníku betonového do lože z betonu s boční opěrou do lože z betonu prostého třídy C 12/15</t>
  </si>
  <si>
    <t>Elektromontážní práce - Silnoproud - podzemní vedení</t>
  </si>
  <si>
    <t xml:space="preserve">210220020-D RTO </t>
  </si>
  <si>
    <t>210813011-D RTO</t>
  </si>
  <si>
    <t>46-M</t>
  </si>
  <si>
    <t>Zemní práce při extr.mont.pracích</t>
  </si>
  <si>
    <t>997999903 SPC</t>
  </si>
  <si>
    <t>D+M Ochrana zdiva nopovou fólií - Specifikace dle PD</t>
  </si>
  <si>
    <t>971999903 SPC</t>
  </si>
  <si>
    <t xml:space="preserve">Odstranění krycí fólie kabeláže vč. odvozu a likvidace - Specifikace dle PD </t>
  </si>
  <si>
    <t xml:space="preserve">Odstranění kabeláže - venkovní vedení  -  vč. odvozu a likvidace - Specifikace dle PD </t>
  </si>
  <si>
    <t xml:space="preserve">Odstranění ochranných trubek venkovního vedení kabeláže -  vč. odvozu a likvidace - Specifikace dle PD </t>
  </si>
  <si>
    <t>23</t>
  </si>
  <si>
    <t>39a</t>
  </si>
  <si>
    <t>39b</t>
  </si>
  <si>
    <t>39c</t>
  </si>
  <si>
    <t>39d</t>
  </si>
  <si>
    <t xml:space="preserve">Odstranění zemnícího drátu / pásku pro vedení kabeláže - vč. odvozu a likvidace - Specifikace dle PD </t>
  </si>
  <si>
    <t>271</t>
  </si>
  <si>
    <t>577144211 RTO</t>
  </si>
  <si>
    <t>573211107 RTO</t>
  </si>
  <si>
    <t>Odstranění podkladu z kameniva drceného tl 400 mm ručně</t>
  </si>
  <si>
    <t>8d</t>
  </si>
  <si>
    <t>" Odpad zatříděn dle katalogu o odpadech do skupiny 20 02 01 - Biologicky rozložitelný odpad. "</t>
  </si>
  <si>
    <t>" - Včetně naložení, svislého a vodorovného přesun bioodpadu (dřevin, travin, křovin), odvoz biodpadu.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biologického odpadu. "</t>
  </si>
  <si>
    <t xml:space="preserve">899721901 SPC </t>
  </si>
  <si>
    <t>D+M Odstranění stávající krycí folie potrubí - Specifikace dle PD</t>
  </si>
  <si>
    <t xml:space="preserve">899721902 SPC </t>
  </si>
  <si>
    <t>D+M Odstranění stávajícího signalizačního vodiče - Specifikace dle PD</t>
  </si>
  <si>
    <t>20</t>
  </si>
  <si>
    <t>21</t>
  </si>
  <si>
    <t>22</t>
  </si>
  <si>
    <t>30</t>
  </si>
  <si>
    <t>37a</t>
  </si>
  <si>
    <t>37b</t>
  </si>
  <si>
    <t>37c</t>
  </si>
  <si>
    <t>37d</t>
  </si>
  <si>
    <t>38a</t>
  </si>
  <si>
    <t>38b</t>
  </si>
  <si>
    <t>38c</t>
  </si>
  <si>
    <t>38d</t>
  </si>
  <si>
    <t>Zřízení podsypu nebo podkladu ze sypaniny tl 170 mm</t>
  </si>
  <si>
    <t>Zřízení podsypu nebo podkladu ze sypaniny tl 180 mm</t>
  </si>
  <si>
    <t>460791212-D RTO</t>
  </si>
  <si>
    <t xml:space="preserve">210021901 SPC </t>
  </si>
  <si>
    <t>38</t>
  </si>
  <si>
    <t>29</t>
  </si>
  <si>
    <t>31</t>
  </si>
  <si>
    <t>565155111 RTO</t>
  </si>
  <si>
    <t>011002008 RTO</t>
  </si>
  <si>
    <t>Podmmínky a požadavky sdělené správcem sítí</t>
  </si>
  <si>
    <t>" - Náklady na zajištění opatření při bourání stávajícího vedení, přípojek vyplývající z rozhodnutí dotčených orgánů, správců sítí. "</t>
  </si>
  <si>
    <t>" POZN: Množství ze poplatek násobeno vzhledem k MJ koeficientem 2,0 → 1 m3 = 2,0 t. "</t>
  </si>
  <si>
    <t>14</t>
  </si>
  <si>
    <t>15</t>
  </si>
  <si>
    <t>16</t>
  </si>
  <si>
    <t>" - Poplatek za uložení na skládce (skládkovné) stavebního odpadu z plastických hmot kód odpadu 17 02 03 "</t>
  </si>
  <si>
    <t>41a</t>
  </si>
  <si>
    <t>41b</t>
  </si>
  <si>
    <t>41c</t>
  </si>
  <si>
    <t>41d</t>
  </si>
  <si>
    <t>42a</t>
  </si>
  <si>
    <t>42b</t>
  </si>
  <si>
    <t>42c</t>
  </si>
  <si>
    <t>42d</t>
  </si>
  <si>
    <t>Soupis prací stavby je zpracován na podkladě projektové dokumentace pro bourání staveb. 
Nedílnou součástí tohoto soupisu prací je projektová dokumentace pro bourání staveb.</t>
  </si>
  <si>
    <t xml:space="preserve">Zhotovitel je povinen se řádně seznámit s projektovou dokumentací  a provést na svůj náklad a své nebezpečí veškeré práce a dodávky, které jsou v projektové dokumentaci obsaženy, bez ohledu na to, zda jsou obsaženy v textové a nebo ve výkresové části, jakož i práce uvedené v soupisu prací. </t>
  </si>
  <si>
    <t>Demolice budov zděných na MC nebo z betonu podíl konstrukcí do 10 % postupným rozebíráním</t>
  </si>
  <si>
    <t>460661411-D RTO</t>
  </si>
  <si>
    <t xml:space="preserve">Odstranění plastových ochranných desek kabeláže -  vč. odvozu a likvidace - Specifikace dle PD </t>
  </si>
  <si>
    <t>Zhotovitel je povinen nakládat se vzniklými odpady v souladu se zákonem č. 185/2001 Sb., o odpadech a související vyhláškou MŽP ČR č. 294/2005 Sb. o podmínkách ukládání odpadů na skládky a jejich využívání na povrchu terénu a změně vyhlášky š. 383/2001 Sb., o podrobnostech nakládání s odpady.</t>
  </si>
  <si>
    <t xml:space="preserve">Uchazeč: </t>
  </si>
  <si>
    <t xml:space="preserve">   Za zhotovitele soupisu :</t>
  </si>
  <si>
    <t xml:space="preserve">                    Za uchazeče :</t>
  </si>
  <si>
    <t xml:space="preserve">                 ________________</t>
  </si>
  <si>
    <t xml:space="preserve">  _______________</t>
  </si>
  <si>
    <t>OBJEKT Č. 1 - GARÁŽ</t>
  </si>
  <si>
    <t>OBJEKT Č. 2/a - DÍLNA</t>
  </si>
  <si>
    <t xml:space="preserve">   1 - BOURACÍ PRÁCE OBJEKTŮ</t>
  </si>
  <si>
    <t xml:space="preserve">   1 - ODPOJENÍ OBJEKTU OD VODOVODU</t>
  </si>
  <si>
    <t xml:space="preserve">   1 - ODPOJENÍ OBJEKTU OD KANALIZACE</t>
  </si>
  <si>
    <t xml:space="preserve">   1 - ODPOJENÍ OBJEKTU OD SILOVÉHO VEDENÍ</t>
  </si>
  <si>
    <t>OBJEKT Č. 2/b - SKLENÍK</t>
  </si>
  <si>
    <t>Objekt:   OBJEKT Č. 1 - GARÁŽ</t>
  </si>
  <si>
    <t xml:space="preserve">   2/a - BOURACÍ PRÁCE OBJEKTŮ</t>
  </si>
  <si>
    <t xml:space="preserve">   2/a - ODPOJENÍ OBJEKTU OD SILOVÉHO VEDENÍ</t>
  </si>
  <si>
    <t xml:space="preserve">   2/b - BOURACÍ PRÁCE OBJEKTŮ</t>
  </si>
  <si>
    <t xml:space="preserve">" Bourání garáže " </t>
  </si>
  <si>
    <t>OBJEKT Č. 1 - GARÁŽ - BOURACÍ PRÁCE</t>
  </si>
  <si>
    <t>" Úprava terénu po bouracích pracích - bourání garáže " 176,71</t>
  </si>
  <si>
    <t>" Bourání základů garáže - základové pasy - obvodové zdivo " (5,4+33,4+2,5+19,6+14,1)*1,25*0,45</t>
  </si>
  <si>
    <t>" Bourání základů garáže - základové pasy - vnitřní nosné zdivo " (4,8*1,0*0,45)+(4,0*1,0*0,4)</t>
  </si>
  <si>
    <t>Demolice konstrukcí objektů z betonu prostého těžkou mechanizací</t>
  </si>
  <si>
    <t>Bourání základů z betonu proloženého kamenem</t>
  </si>
  <si>
    <t>" Bourání základů garáže - základová (podkladní) deska " (19,15*5,0+13,35*2,1+((2,86*13,35)/2))*0,15</t>
  </si>
  <si>
    <t xml:space="preserve">" Objem bourání čísti pod střechou - v. 0,75 m " (((0,75*5,9)/2)+0,16*5,9)*(19,6+13,8) </t>
  </si>
  <si>
    <t>" POZN: Cos 14°49' = 0,966749041. "</t>
  </si>
  <si>
    <t>" Objem střechy - v.  0,21 m " ((6,4*33,9)/cos 14°49')*0,21</t>
  </si>
  <si>
    <t>" Zásyp po vybouraných základech garáže " (42,19+3,76)+21,43</t>
  </si>
  <si>
    <t>" Zásyp po vybourané podlaze garáže - zarovnání terénu " (5,9*19,6)*0,1</t>
  </si>
  <si>
    <t>" Objem bourání 1. NP vč. podlahy "(19,6*5,9*2,55)+(2,95*13,8+(14,1*(5,9-2,95))/2)*2,55</t>
  </si>
  <si>
    <t>" Zásyp po vybouraných základech garáže " (67,38+11,56)*1,7</t>
  </si>
  <si>
    <t>Přemístění stávajícího chladícího boxu vč. veškerého příslušenství - Specifikace dle PD</t>
  </si>
  <si>
    <t xml:space="preserve">" V ceně veškeré nutné práce a materiál související s přemístěním a  přepojením vedení instalací a instalace na nové místo - např. úpravy povrchů při stěhování, zakrytí konstrukcí, apod.  
V ceně také přesun hmot a případný odvoz a likvidace suti. " </t>
  </si>
  <si>
    <t>POZNÁMKA: V soupisu prací není uvažováno s nutnými zemními pracemi pro zpřístupnění základů. Předpokládá se jejich postupné vybourání shora po odbourání podkladní betonové desky / základové desky. 
Specifikace pro tuto část dle PD:
GARÁŽ → TZ + výkresy D.b.01. PUDORYS 1.NP - GARAZE, D.b.02. REZ A-A' - GARAZE, D.b.03. POHLEDY - GARAZE.</t>
  </si>
  <si>
    <t>Objekt:   OBJEKT Č. 2/a - DÍLNA</t>
  </si>
  <si>
    <t>OBJEKT Č. 2/a - DÍLNA - BOURACÍ PRÁCE</t>
  </si>
  <si>
    <t>POZNÁMKA: V soupisu prací není uvažováno s nutnými zemními pracemi pro zpřístupnění základů. Předpokládá se jejich postupné vybourání shora po odbourání podkladní betonové desky / základové desky. 
Specifikace pro tuto část dle PD:
DÍLNA → TZ + výkresy D.b.04. PUDORYS 1.NP - DILNA, SKLENIK, D.b.05. REZ A-A' - DILNA, SKLENIK, D.b.06. POHLEDY - DILNA, SKLENIK.</t>
  </si>
  <si>
    <t>" Objem bourání 1. NP vč. podlahy " (9,0*4,0)*2,7</t>
  </si>
  <si>
    <t>" Objem bourání čísti pod střechou - v. 1,68 m " (((1,68*2,0)/2)*2)*9,0</t>
  </si>
  <si>
    <t>" Objem střechy - v.  0,17 m " ((5,0*10,0)/cos 39°56')*0,17</t>
  </si>
  <si>
    <t>" POZN: Cos 39°56' = 0,766791841. "</t>
  </si>
  <si>
    <t>" Zásyp po vybouraných základech dílny " (10,044+1,224)+3,77</t>
  </si>
  <si>
    <t>" Zásyp po vybourané podlaze dílny - zarovnání terénu " (4,0*9,0)*0,1</t>
  </si>
  <si>
    <t>" Zásyp po vybouraných základech garáže " (15,04+3,6)*1,7</t>
  </si>
  <si>
    <t>Demolice budov zděných na MC nebo z betonu podíl konstrukcí do 20 % postupným rozebíráním</t>
  </si>
  <si>
    <r>
      <t xml:space="preserve">" POZN: Výpočet podílů objemu konstrukcí k obestavěnému prostoru.
 - Výpočet obestavěného prostoru - viz položka - 604,28 m3.
 </t>
    </r>
    <r>
      <rPr>
        <b/>
        <sz val="8"/>
        <color rgb="FF0000FF"/>
        <rFont val="Arial CE"/>
        <family val="2"/>
        <charset val="238"/>
      </rPr>
      <t>VÝPOČET OBJEMU KONSTRUKCÍ:</t>
    </r>
    <r>
      <rPr>
        <sz val="8"/>
        <color indexed="12"/>
        <rFont val="Arial CE"/>
        <family val="2"/>
        <charset val="238"/>
      </rPr>
      <t xml:space="preserve">
 </t>
    </r>
    <r>
      <rPr>
        <b/>
        <sz val="8"/>
        <color rgb="FF0000FF"/>
        <rFont val="Arial CE"/>
        <family val="2"/>
        <charset val="238"/>
      </rPr>
      <t>ZDIVO</t>
    </r>
    <r>
      <rPr>
        <sz val="8"/>
        <color indexed="12"/>
        <rFont val="Arial CE"/>
        <family val="2"/>
        <charset val="238"/>
      </rPr>
      <t>:</t>
    </r>
    <r>
      <rPr>
        <b/>
        <i/>
        <u/>
        <sz val="8"/>
        <color rgb="FF0000FF"/>
        <rFont val="Arial CE"/>
        <family val="2"/>
        <charset val="238"/>
      </rPr>
      <t xml:space="preserve"> V = 50,81+1,55 = 52,36 m3</t>
    </r>
    <r>
      <rPr>
        <sz val="8"/>
        <color indexed="12"/>
        <rFont val="Arial CE"/>
        <family val="2"/>
        <charset val="238"/>
      </rPr>
      <t xml:space="preserve">
  - </t>
    </r>
    <r>
      <rPr>
        <u/>
        <sz val="8"/>
        <color rgb="FF0000FF"/>
        <rFont val="Arial CE"/>
        <family val="2"/>
        <charset val="238"/>
      </rPr>
      <t>1. NP</t>
    </r>
    <r>
      <rPr>
        <sz val="8"/>
        <color indexed="12"/>
        <rFont val="Arial CE"/>
        <family val="2"/>
        <charset val="238"/>
      </rPr>
      <t xml:space="preserve">: ((33,4+19,6+14,1+5,4+2,5+4,8)*0,25+(3,95)*0,2)*2,45 = </t>
    </r>
    <r>
      <rPr>
        <u/>
        <sz val="8"/>
        <color rgb="FF0000FF"/>
        <rFont val="Arial CE"/>
        <family val="2"/>
        <charset val="238"/>
      </rPr>
      <t xml:space="preserve">50,81 m3
</t>
    </r>
    <r>
      <rPr>
        <sz val="8"/>
        <color rgb="FF0000FF"/>
        <rFont val="Arial CE"/>
        <family val="2"/>
        <charset val="238"/>
      </rPr>
      <t xml:space="preserve">  - </t>
    </r>
    <r>
      <rPr>
        <u/>
        <sz val="8"/>
        <color rgb="FF0000FF"/>
        <rFont val="Arial CE"/>
        <family val="2"/>
        <charset val="238"/>
      </rPr>
      <t>ŠTÍTY:</t>
    </r>
    <r>
      <rPr>
        <sz val="8"/>
        <color rgb="FF0000FF"/>
        <rFont val="Arial CE"/>
        <family val="2"/>
        <charset val="238"/>
      </rPr>
      <t xml:space="preserve"> (4,02+2,16)*0,25 = </t>
    </r>
    <r>
      <rPr>
        <u/>
        <sz val="8"/>
        <color rgb="FF0000FF"/>
        <rFont val="Arial CE"/>
        <family val="2"/>
        <charset val="238"/>
      </rPr>
      <t>1,55 m3</t>
    </r>
    <r>
      <rPr>
        <sz val="8"/>
        <color indexed="12"/>
        <rFont val="Arial CE"/>
        <family val="2"/>
        <charset val="238"/>
      </rPr>
      <t xml:space="preserve">
</t>
    </r>
    <r>
      <rPr>
        <b/>
        <sz val="8"/>
        <color rgb="FF0000FF"/>
        <rFont val="Arial CE"/>
        <family val="2"/>
        <charset val="238"/>
      </rPr>
      <t xml:space="preserve">PROCENTUÁLNÍ PODÍL KONSTRUKCÍ:
(Celkový objem konstrukcí [m3] ÷ Objem obestavěného prostoru [m3])*100
</t>
    </r>
    <r>
      <rPr>
        <sz val="8"/>
        <color indexed="12"/>
        <rFont val="Arial CE"/>
        <family val="2"/>
        <charset val="238"/>
      </rPr>
      <t xml:space="preserve"> - </t>
    </r>
    <r>
      <rPr>
        <u/>
        <sz val="8"/>
        <color rgb="FF0000FF"/>
        <rFont val="Arial CE"/>
        <family val="2"/>
        <charset val="238"/>
      </rPr>
      <t>VÝPOČET</t>
    </r>
    <r>
      <rPr>
        <sz val="8"/>
        <color indexed="12"/>
        <rFont val="Arial CE"/>
        <family val="2"/>
        <charset val="238"/>
      </rPr>
      <t>: ((52,36)/604,28)*100 = 8,66 % → Volba podílu konstrukcí do 10 %. "</t>
    </r>
  </si>
  <si>
    <r>
      <t xml:space="preserve">" POZN: Výpočet podílů objemu konstrukcí k obestavěnému prostoru.
 - Výpočet obestavěného prostoru - viz položka - 138,53 m3.
 </t>
    </r>
    <r>
      <rPr>
        <b/>
        <sz val="8"/>
        <color rgb="FF0000FF"/>
        <rFont val="Arial CE"/>
        <family val="2"/>
        <charset val="238"/>
      </rPr>
      <t>VÝPOČET OBJEMU KONSTRUKCÍ:</t>
    </r>
    <r>
      <rPr>
        <sz val="8"/>
        <color indexed="12"/>
        <rFont val="Arial CE"/>
        <family val="2"/>
        <charset val="238"/>
      </rPr>
      <t xml:space="preserve">
 </t>
    </r>
    <r>
      <rPr>
        <b/>
        <sz val="8"/>
        <color rgb="FF0000FF"/>
        <rFont val="Arial CE"/>
        <family val="2"/>
        <charset val="238"/>
      </rPr>
      <t>ZDIVO</t>
    </r>
    <r>
      <rPr>
        <sz val="8"/>
        <color indexed="12"/>
        <rFont val="Arial CE"/>
        <family val="2"/>
        <charset val="238"/>
      </rPr>
      <t>:</t>
    </r>
    <r>
      <rPr>
        <b/>
        <i/>
        <u/>
        <sz val="8"/>
        <color rgb="FF0000FF"/>
        <rFont val="Arial CE"/>
        <family val="2"/>
        <charset val="238"/>
      </rPr>
      <t xml:space="preserve"> V = 21,92+2,27 = 24,19 m3</t>
    </r>
    <r>
      <rPr>
        <sz val="8"/>
        <color indexed="12"/>
        <rFont val="Arial CE"/>
        <family val="2"/>
        <charset val="238"/>
      </rPr>
      <t xml:space="preserve">
  - </t>
    </r>
    <r>
      <rPr>
        <u/>
        <sz val="8"/>
        <color rgb="FF0000FF"/>
        <rFont val="Arial CE"/>
        <family val="2"/>
        <charset val="238"/>
      </rPr>
      <t>1. NP</t>
    </r>
    <r>
      <rPr>
        <sz val="8"/>
        <color indexed="12"/>
        <rFont val="Arial CE"/>
        <family val="2"/>
        <charset val="238"/>
      </rPr>
      <t xml:space="preserve">: ((9,0+9,0+3,4+3,4)*0,3+(3,4)*0,2)*2,7 = </t>
    </r>
    <r>
      <rPr>
        <u/>
        <sz val="8"/>
        <color rgb="FF0000FF"/>
        <rFont val="Arial CE"/>
        <family val="2"/>
        <charset val="238"/>
      </rPr>
      <t xml:space="preserve">21,92 m3
</t>
    </r>
    <r>
      <rPr>
        <sz val="8"/>
        <color rgb="FF0000FF"/>
        <rFont val="Arial CE"/>
        <family val="2"/>
        <charset val="238"/>
      </rPr>
      <t xml:space="preserve">  - </t>
    </r>
    <r>
      <rPr>
        <u/>
        <sz val="8"/>
        <color rgb="FF0000FF"/>
        <rFont val="Arial CE"/>
        <family val="2"/>
        <charset val="238"/>
      </rPr>
      <t>ŠTÍTY:</t>
    </r>
    <r>
      <rPr>
        <sz val="8"/>
        <color rgb="FF0000FF"/>
        <rFont val="Arial CE"/>
        <family val="2"/>
        <charset val="238"/>
      </rPr>
      <t xml:space="preserve"> (3,78+3,78)*0,3 = </t>
    </r>
    <r>
      <rPr>
        <u/>
        <sz val="8"/>
        <color rgb="FF0000FF"/>
        <rFont val="Arial CE"/>
        <family val="2"/>
        <charset val="238"/>
      </rPr>
      <t>2,27 m3</t>
    </r>
    <r>
      <rPr>
        <sz val="8"/>
        <color indexed="12"/>
        <rFont val="Arial CE"/>
        <family val="2"/>
        <charset val="238"/>
      </rPr>
      <t xml:space="preserve">
</t>
    </r>
    <r>
      <rPr>
        <b/>
        <sz val="8"/>
        <color rgb="FF0000FF"/>
        <rFont val="Arial CE"/>
        <family val="2"/>
        <charset val="238"/>
      </rPr>
      <t xml:space="preserve">PROCENTUÁLNÍ PODÍL KONSTRUKCÍ:
(Celkový objem konstrukcí [m3] ÷ Objem obestavěného prostoru [m3])*100
</t>
    </r>
    <r>
      <rPr>
        <sz val="8"/>
        <color indexed="12"/>
        <rFont val="Arial CE"/>
        <family val="2"/>
        <charset val="238"/>
      </rPr>
      <t xml:space="preserve"> - </t>
    </r>
    <r>
      <rPr>
        <u/>
        <sz val="8"/>
        <color rgb="FF0000FF"/>
        <rFont val="Arial CE"/>
        <family val="2"/>
        <charset val="238"/>
      </rPr>
      <t>VÝPOČET</t>
    </r>
    <r>
      <rPr>
        <sz val="8"/>
        <color indexed="12"/>
        <rFont val="Arial CE"/>
        <family val="2"/>
        <charset val="238"/>
      </rPr>
      <t>: ((24,19)/138,53)*100 = 17,46 % → Volba podílu konstrukcí přes 15 % do 20 %. "</t>
    </r>
  </si>
  <si>
    <t>" Bourání základů dílny - základové pasy - obvodové zdivo " (3,4+3,4+9,0+9,0)*0,9*0,45</t>
  </si>
  <si>
    <t>" Bourání základů dílny - základové pasy - vnitřní nosné zdivo " (3,4*0,9*0,4)</t>
  </si>
  <si>
    <t>" Bourání základů dílny - základová (podkladní) deska " (8,1*3,1)*0,15</t>
  </si>
  <si>
    <t>Objekt:   OBJEKT Č. 2/b - SKLENÍK</t>
  </si>
  <si>
    <t>OBJEKT Č. 2/b - SKLENÍK - BOURACÍ PRÁCE</t>
  </si>
  <si>
    <t>" Úprava terénu po bouracích pracích - bourání dílny " 9,0*4,0</t>
  </si>
  <si>
    <t>" Úprava terénu po bouracích pracích - bourání skleníku " 6,5*4,0</t>
  </si>
  <si>
    <t>Vytrhání obrub silničních ležatých</t>
  </si>
  <si>
    <t>Odstranění podkladu živičného tl 150 mm strojně pl přes 50 do 200 m2</t>
  </si>
  <si>
    <t>" Odstranění živičné vrstvy asfaltové komunikace pro jednotlivé plochy přes 50 m2 do 200 m2. "</t>
  </si>
  <si>
    <t>" Odstranění asfaltu v areálu " 176,3</t>
  </si>
  <si>
    <t>Odstranění podkladu z kameniva drceného tl 300 mm strojně pl přes 50 do 200 m2</t>
  </si>
  <si>
    <t>" Odstranění podkladních vrstev strojně pro jednotlivé plochy přes 50 m2 do 200 m2. "</t>
  </si>
  <si>
    <t>" Odstranění podkladních vrstev pod asfaltovou komunikací " 176,3</t>
  </si>
  <si>
    <t>" Rozebrání dlažby chodníku " 15,75</t>
  </si>
  <si>
    <t>" Rozebrání dlažby ve skleníku " 24,45</t>
  </si>
  <si>
    <t>Odstranění podkladu z kameniva drceného tl 200 mm strojně pl do 50 m2</t>
  </si>
  <si>
    <t>" Odstranění podkladních vrstev strojně pro jednotlivé plochy do 50 m2. "</t>
  </si>
  <si>
    <t>" Odstranění podkladu pod chodníkem " 15,75</t>
  </si>
  <si>
    <t>" Odstranění podkladu pod dlažbou ve skleníku " 24,45</t>
  </si>
  <si>
    <t>" Vytrhání ležatých obrub silničních " 6,6</t>
  </si>
  <si>
    <t>" Zásyp jámy po vybouraných zpevněných plochách - dlažba - uvažovaná celková tl. 350 mm " (15,75+24,45)</t>
  </si>
  <si>
    <t>Zřízení podsypu nebo podkladu ze sypaniny tl 150 mm</t>
  </si>
  <si>
    <t>" Zásyp jámy po vybouraných zpevněných plochách - asfalt - uvažovaná celkocá tl. 450 mm " (176,3)</t>
  </si>
  <si>
    <t>" Zásyp po vybouraných zpevněných plochách - asfalt " (176,3*0,45)*1,7</t>
  </si>
  <si>
    <t>" Zásyp po vybouraných zpevněných plochách - dlažba " ((15,75+24,45)*0,35)*1,7</t>
  </si>
  <si>
    <t>Zalití rostlin vodou plocha přes 20 m2</t>
  </si>
  <si>
    <t>28</t>
  </si>
  <si>
    <t>Řezání stávajícího živičného krytu hl do 150 mm</t>
  </si>
  <si>
    <t>"  Včetně naložení, svislého a vodorovného přesunu suti, odvoz stavební suti. 
Likvidace v souladu se zákonem č. 185/2001 Sb., o odpadech a související vyhláškou MŽP ČR č. 294/2005 Sb. o podmínkách ukládání odpadů na skládky a jejich využívání na povrchu terénu a změně vyhlášky š. 383/2001 Sb., o podrobnostech nakládání s odpady. Likvidace dle technologie a místa určené zhotovitelem, včetně poplatků za uložení odpadu. "</t>
  </si>
  <si>
    <t>596999102 SPC</t>
  </si>
  <si>
    <t>Přesun hmot pro pozemní komunikace s krytem dlážděným</t>
  </si>
  <si>
    <t>38e</t>
  </si>
  <si>
    <t>Bourání odvodňovacího žlabu z betonových příkopových tvárnic š do 500 mm</t>
  </si>
  <si>
    <t>" Řezání stávajícího asfaltového krytu před jeho vybouráním. " 2,1+1,45+5,95+5,85+1,9</t>
  </si>
  <si>
    <t>" V položky zohledněny i náklady na vybourání obetonování a lože. "</t>
  </si>
  <si>
    <t>" Likvidace vybouraného materiálu " 55,711</t>
  </si>
  <si>
    <t>" Likvidace vybouraného materiálu " 77,572+11,658</t>
  </si>
  <si>
    <t xml:space="preserve">" Odstranění skupiny keřů č. 24 " </t>
  </si>
  <si>
    <t xml:space="preserve">" Odstranění skupiny keřů č. 26 " </t>
  </si>
  <si>
    <t xml:space="preserve">" Odstranění skupiny keřů č. 31 " </t>
  </si>
  <si>
    <t xml:space="preserve">" Odstranění skupiny keřů č. 32 " </t>
  </si>
  <si>
    <t xml:space="preserve">" Odstranění skupiny keřů č. 38 " </t>
  </si>
  <si>
    <t>" Kácení stromů č. 25, 67 " 1+1</t>
  </si>
  <si>
    <t>" Kácení stromu č. 23, 30 " 1+1</t>
  </si>
  <si>
    <t>Odstranění stromů listnatých průměru kmene do 1100 mm</t>
  </si>
  <si>
    <t>" Kácení stromu č. 22 " 1</t>
  </si>
  <si>
    <t>" Ostranění pařezů stromů listnatých - č. 29, 33, 34, 46 - 56, 58 - 63,, 65, 68 - 73 " 1+2+11+6+1+6</t>
  </si>
  <si>
    <t>" Ostranění pařezů stromů listnatých - č. 45, 57, 64, 67 " 1+1+1+1</t>
  </si>
  <si>
    <t>" Ostranění pařezů stromů listnatých - č. 25 " 1</t>
  </si>
  <si>
    <t>" Ostranění pařezů stromů listnatých - č. 23 "</t>
  </si>
  <si>
    <t>" Ostranění pařezů stromů listnatých - č. 30 "</t>
  </si>
  <si>
    <t>Odstranění pařezů D do 1100 mm</t>
  </si>
  <si>
    <t>Odstranění pařezů D do 1500 mm</t>
  </si>
  <si>
    <t>" Ostranění pařezů stromů listnatých - č. 22 "</t>
  </si>
  <si>
    <t>Zásyp jam po pařezech D pařezů do 1100 mm strojně</t>
  </si>
  <si>
    <t>Zásyp jam po pařezech D pařezů do 300 mm strojně</t>
  </si>
  <si>
    <t>Zásyp jam po pařezech D pařezů do 500 mm strojně</t>
  </si>
  <si>
    <t>Zásyp jam po pařezech D pařezů do 700 mm strojně</t>
  </si>
  <si>
    <t>Zásyp jam po pařezech D pařezů do 900 mm strojně</t>
  </si>
  <si>
    <t>Zásyp jam po pařezech D pařezů do 1500 mm strojně</t>
  </si>
  <si>
    <t>" Úprava terénu po vybouraných skladbách komunikace " (15,75+24,45)+(176,3)</t>
  </si>
  <si>
    <t xml:space="preserve">" Kácení stromů č. 44 - mnohokmen (uvažovány 3 ks) " </t>
  </si>
  <si>
    <t>" Kácení stromů č. 29, 33, 34, 45 - 65, 68 - 73 " 1+2+21+6</t>
  </si>
  <si>
    <t xml:space="preserve">" Odstranění stromu č. 37 - mnohokmen s průměrem do 100 mm - uvažována plocha - 12,0 m2 " </t>
  </si>
  <si>
    <t>" Ostranění pařezů stromů listnatých - č. 44 - mnohokmen " 1</t>
  </si>
  <si>
    <t>" Likvidace vybouraného materiálu " 96,685</t>
  </si>
  <si>
    <t>" Likvidace vybouraného materiálu " (54,646)+(101,09)</t>
  </si>
  <si>
    <t>" Likvidace vybouraného materiálu " 51,256</t>
  </si>
  <si>
    <t xml:space="preserve">POZNÁMKA: V soupisu prací jsou uvedeny jen ty stromy, které je nutno pokácet pro provedení bouracích prací. Prořezy stávajících stromů, odstranění případných dalších stromů, apod. bude součástí provedení novostavby.
Specifikace pro tuto část dle PD → TZ + výkres C.2_f. KATASTRALNI SITUACNI VYKRES. </t>
  </si>
  <si>
    <t>Vystěhování místností před započetím bouracích prací vč. likvidace / případného uskladnění a přemístění - dle požadavků investora - Specifikace dle PD</t>
  </si>
  <si>
    <t>" Vyklizení místností - 1. NP " 16,47+17,66+16,47+16,47+16,47+16,9+14,18+15,3+21,22</t>
  </si>
  <si>
    <t>" Vyklizení půdy  " 157,96</t>
  </si>
  <si>
    <t>9a</t>
  </si>
  <si>
    <t>9b</t>
  </si>
  <si>
    <t>9c</t>
  </si>
  <si>
    <t>10a</t>
  </si>
  <si>
    <t>10b</t>
  </si>
  <si>
    <t>10c</t>
  </si>
  <si>
    <t>10d</t>
  </si>
  <si>
    <t xml:space="preserve">" V ceně demolice budovy, podlahy (základová / podkladní deska pod podlahou zohledněna v položce č. 6),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</si>
  <si>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Hloubení rýh zapažených š do 800 mm v hornině třídy těžitelnosti I, skupiny 3 objem do 50 m3 strojně</t>
  </si>
  <si>
    <t>" POZM: Šířka vybourání asfaltu oproti rýze navýšena o 100 mm na každou stranu z důvodu případného zabranění poškození stávající vrstvy při výkopových pracích. "</t>
  </si>
  <si>
    <t>" - Asfaltový beton střednězrnný ABS II - tl. 50 mm - 40,85 m2 "</t>
  </si>
  <si>
    <t>" - Spojovací postřik asfaltem - 0,30 kg/m2 - 40,85 m2 "</t>
  </si>
  <si>
    <t>" - Obalované kamenivo střednězrnné OKS I - tl. 70 mm - 40,85 m2 "</t>
  </si>
  <si>
    <t>" - Podklad ze štěrkodrti ŠD frakce 0-32 mm - tl. 200 mm - 40,85 m2 "</t>
  </si>
  <si>
    <t>" - Podklad ze štěrkodrti ŠD frakce 32-63 mm - tl. 170 mm - 40,85 m2 "</t>
  </si>
  <si>
    <t>44</t>
  </si>
  <si>
    <t xml:space="preserve">" Včetně kotvících a spojovacích prvků. Součástí ceny odstranění nesoudržných částí, očištění stávajícího nadzákladového zdiva a základů, vyspravení podkladu. 
V ceně také přesun hmot. " </t>
  </si>
  <si>
    <t>" POZN: Uvažována výška pro maximální odkop - 1,0 m "</t>
  </si>
  <si>
    <t>" Nopová fólie podél stěn stávajícího objektu v místě řešení napojení skladby" ((1,0)*1,0)*1,1</t>
  </si>
  <si>
    <t>OBJEKT Č. 1 - GARÁŽ - ODPOJENÍ OD SILOVÉHO VEDENÍ</t>
  </si>
  <si>
    <t xml:space="preserve">" Odstrannění podkladů asfaltové plochy ručně - z důvodů bourání připojení silového vedení " </t>
  </si>
  <si>
    <t>" Množství obsaženo v části "OBJEKT Č. 1 - GARÁŽ - ODPOJENÍ OD SILOVÉHO VEDENÍ" "</t>
  </si>
  <si>
    <t>" Odstranění podkladu v samostatné rýze " (6,8)*1,0</t>
  </si>
  <si>
    <t>" Odstranění asfaltu v samostatné rýze " (6,8)*1,0</t>
  </si>
  <si>
    <t>" Odstrannění plochy kameniva pod zpevněnými plochami ručně. "</t>
  </si>
  <si>
    <t>" Sejmutí ornice v místě rýh před jejich provedením pro vybourání vedení " (9,7-1,5)*1,0</t>
  </si>
  <si>
    <t>" Hloubení rýh pro zpřístupnění vedení - v asfaltu " (6,8)*0,8*1,0</t>
  </si>
  <si>
    <t>" Hloubení rýh pro zpřístupnění vedení - v dlažbě " (1,5)*0,8*1,0</t>
  </si>
  <si>
    <t>" Hloubení rýh pro zpřístupnění vedení - v zeleni " (9,7-1,5)*0,8*1,0</t>
  </si>
  <si>
    <t>" Příplatek - 10 % " (13,2)*0,1</t>
  </si>
  <si>
    <t xml:space="preserve">" Pažení rýhy pro zpřístupnění bouraného vedení - 50 % plochy " </t>
  </si>
  <si>
    <t>" Pažení rýh pro zpřístupnění vedení - v asfaltu " ((6,8)*1,0*2)*0,5</t>
  </si>
  <si>
    <t>" Pažení rýh pro zpřístupnění vedení - v zeleni " ((9,7-1,5)*1,0*2)*0,5</t>
  </si>
  <si>
    <t>" Pažení rýh pro zpřístupnění vedení - v dlažbě " ((1,5)*1,0*2)*0,5</t>
  </si>
  <si>
    <t>" Zpětný zásyp po vybourání vedení vedeného v komunikacích - štěrkem "</t>
  </si>
  <si>
    <t>" Zpětný zásyp po vybourání vedení - v asfaltu - štěrkem " (6,8)*0,8*1,0</t>
  </si>
  <si>
    <t>" Zpětný zásyp po vybourání vedení - v dlažbě - štěrkem " (1,5)*0,8*1,0</t>
  </si>
  <si>
    <t>" Zpětný zásyp po vybourání vedení vedeného v zeleni - vykopanou zeminou "</t>
  </si>
  <si>
    <t>" Zpětný zásyp po vybourání vedení - v zeleni - vykopanou zeminou" (9,7-1,5)*0,8*1,0</t>
  </si>
  <si>
    <t>" Zásyp ze štěrkodrti pro bourané vedení v komunikaci " (5,44+1,2)*2,0</t>
  </si>
  <si>
    <t>" Úprava ploch před realizací sadových úprav - pro zatravněné plochy " (9,7-1,5)*1,0</t>
  </si>
  <si>
    <t>" Zpětné rozprostření sejmuté ornice " 8,2</t>
  </si>
  <si>
    <t>" Úprava zeminy před dosevem -1x  " (8,2)*1</t>
  </si>
  <si>
    <t>" Úprava zeminy před dosevem - 1x  " (8,2)*1</t>
  </si>
  <si>
    <t>" Provzdušnění trávníku s přísevem osiva - zpětné položení stávajícího trávníku - ornice " (9,7-1,5)*1,0</t>
  </si>
  <si>
    <t>" Prořezání trávníku s přísevem osiva - zpětné položení stávajícího trávníku - ornice " (9,7-1,5)*1,0</t>
  </si>
  <si>
    <t>" Osivo jako přísev při obnově stávajícího trávníku - provzdušnění - spotřeba 5 g/m2 " (8,2)*0,005</t>
  </si>
  <si>
    <t>" Osivo jako přísev při obnově stávajícího trávníku - prořezání - spotřeba 5 g/m2 " (8,2)*0,005</t>
  </si>
  <si>
    <t>" Provedení zapískování trávníku vrstvou písku - zatravněné plochy - zpětné dání ornice " (9,7-1,5)*1,0</t>
  </si>
  <si>
    <t>" Písek pro zapískování trávníku - spotřeba 9,8 kg/m2 " (8,2)*0,0098</t>
  </si>
  <si>
    <t>" Dvojnásobný postřik trávníku přípravkem podporující zakořenění a růst - zatravněné plochy  " (8,2)</t>
  </si>
  <si>
    <t>" Spotřeba - 50 ml / 100 m2 → 0,0005 l / 1 m2 " (0,0005*(8,2))*2</t>
  </si>
  <si>
    <t>" Dvojnásobné odplevelení trávníku před realizací sadových úprav. " (8,2)*2</t>
  </si>
  <si>
    <t>" Hnojení půdy travnatých ploch hnojivy " ((8,2)*0,02)/1000</t>
  </si>
  <si>
    <t>" Hnojivo pro hnojení travnatých ploch - spotřeba 20 g/m2 " (8,2)*0,02</t>
  </si>
  <si>
    <t>" Ošetření trávníku " 8,2</t>
  </si>
  <si>
    <t>" Zalití travnatých ploch po provzdušnění a dodání semen - 15 l na 1 m2 " 0,015*(8,2)</t>
  </si>
  <si>
    <t>" Odvoz zeminy z výkopových prací - zemina " 13,2-6,56</t>
  </si>
  <si>
    <t>39</t>
  </si>
  <si>
    <t xml:space="preserve">" Cena skladby včetně ztratného a přehutnění hutnitelných vrstev " </t>
  </si>
  <si>
    <t>" POZN: Montáž lože pod dlažbu zohledněna v položce Montáž dlažby. "</t>
  </si>
  <si>
    <t>" Asfaltová plocha " (6,8)*1,0</t>
  </si>
  <si>
    <t>D+M Konstrukce chodníku - betonová dlažba zámková - očištěná - Specifikace dle PD</t>
  </si>
  <si>
    <t>564861111 RTO</t>
  </si>
  <si>
    <t>596211120 RTO</t>
  </si>
  <si>
    <t>59245008 RTO</t>
  </si>
  <si>
    <t>" Výškové napojení asfaltových ploch na stávající komunikaci " (6,8)*2</t>
  </si>
  <si>
    <t xml:space="preserve">" V ceně:
 - případné řezání krytu / dlažby;
 - zarovnání styčných ploch;
 - úprava čela krytu / napojení dlažby;
 - předláždění stávající plochy;
 - odvoz a uložení vybouraných hmot;
 - další nutné práce související s provedením napojení nových ploch na stávající. " </t>
  </si>
  <si>
    <t>D+M Výškové napojení nové skladby na stávající zpevněné plochy - dlážděných ploch - Specifikace dle PD</t>
  </si>
  <si>
    <t>" Výškové napojení dlážděných ploch na stávající komunikaci " (1,5)*2</t>
  </si>
  <si>
    <t>" Odstranění krycí fólie kabeláže  - vedené ve společné rýze pro odpojení garáže " (25,2+2,2)</t>
  </si>
  <si>
    <t>" Odstranění krycí fólie kabeláže  - samostatné vedení " (6,8)+(9,7)</t>
  </si>
  <si>
    <t>" Odstranění zemnícího drátu / pásku při vedení kabeláže  - vedené ve společné rýze pro odpojení garáže " (25,2+2,2)</t>
  </si>
  <si>
    <t>" Odstranění zemnícího drátu / pásku při vedení kabeláže  - samostatné vedení " (6,8)+(9,7)</t>
  </si>
  <si>
    <t>" Vybourání stávajícího kabelového vedení v zemině vč. případných svorek, spojek - samostatné vedení " (6,8)+(9,7)</t>
  </si>
  <si>
    <t>" Vybourání stávajícího kabelového vedení v zemině vč. případných svorek, spojek - vedené ve společné rýze pro odpojení garáže " (25,2+2,2)</t>
  </si>
  <si>
    <t>" Vybourání ochranných trubek kabelového vedení - vedené ve společné rýze pro odpojení garáže " (25,2+2,2)</t>
  </si>
  <si>
    <t>" Vybourání ochranných trubek kabelového vedení - samostatné vedení " (6,8)+(9,7)</t>
  </si>
  <si>
    <t>" Likvidace vybouraného materiálu " 3,06</t>
  </si>
  <si>
    <t>OBJEKT Č. 2/a - DÍLNA - ODPOJENÍ OD SILOVÉHO VEDENÍ</t>
  </si>
  <si>
    <t>D+M Zaslepení stávajícího potrubí vodovodu v místě bourané odbočky - Specifikace dle PD</t>
  </si>
  <si>
    <t>" Zaslepení stávající odbočky zátkou po vybourání "</t>
  </si>
  <si>
    <t xml:space="preserve">" V ceně veškeré nutné práce a materiál související se  zaslepením stávajícího potrubí v místě odbočky. V ceně také odpojení potrubí / řezání pro vybourání bourané větve. 
V ceně také přesun hmot. " </t>
  </si>
  <si>
    <t>" POZM: Šířka sejmutí ornice oproti rýze navýšena o 100 mm na každou stranu z důvodu případného zabranění poškození okolní stávající vrstvy při výkopových pracích. "</t>
  </si>
  <si>
    <t>" Sejmutí ornice v místě rýh před jejich provedením pro vybourání vedení " (2,7+0,6)*1,0</t>
  </si>
  <si>
    <t>Hloubení rýh zapažených š do 800 mm v hornině třídy těžitelnosti II, skupiny 4 objem do 20 m3 strojně</t>
  </si>
  <si>
    <t>" Hloubení rýh v zeleni " ((2,7+0,6)*0,8*1,75)*0,1</t>
  </si>
  <si>
    <t>" Hloubení rýh v zeleni " ((2,7+0,6)*0,8*1,75)*0,9</t>
  </si>
  <si>
    <t>" Úprava ploch před realizací sadových úprav - pro zatravněné plochy " (2,7+0,6)*1,0</t>
  </si>
  <si>
    <t>" Zpětné rozprostření sejmuté ornice " (2,7+0,6)*1,0</t>
  </si>
  <si>
    <t>" Provzdušnění trávníku s přísevem osiva - zpětné položení stávajícího trávníku - ornice " 3,3*1,0</t>
  </si>
  <si>
    <t>" Prořezání trávníku s přísevem osiva - zpětné položení stávajícího trávníku - ornice " 3,3*1,0</t>
  </si>
  <si>
    <t>" Osivo jako přísev při obnově stávajícího trávníku - provzdušnění - spotřeba 5 g/m2 " (3,3)*0,005</t>
  </si>
  <si>
    <t>" Osivo jako přísev při obnově stávajícího trávníku - prořezání - spotřeba 5 g/m2 " (3,3)*0,005</t>
  </si>
  <si>
    <t>" Provedení zapískování trávníku vrstvou písku - zatravněné plochy - zpětné dání ornice " 3,3*1,0</t>
  </si>
  <si>
    <t>" Písek pro zapískování trávníku - spotřeba 9,8 kg/m2 " (3,3)*0,0098</t>
  </si>
  <si>
    <t>" Dvojnásobný postřik trávníku přípravkem podporující zakořenění a růst - zatravněné plochy  " (3,3)</t>
  </si>
  <si>
    <t>" Spotřeba - 50 ml / 100 m2 → 0,0005 l / 1 m2 " (0,0005*(3,3))*2</t>
  </si>
  <si>
    <t>" Dvojnásobné odplevelení trávníku před realizací sadových úprav. " (3,3)*2</t>
  </si>
  <si>
    <t>" Hnojení půdy travnatých ploch hnojivy " ((3,3)*0,02)/1000</t>
  </si>
  <si>
    <t>" Hnojivo pro hnojení travnatých ploch - spotřeba 20 g/m2 " (3,3)*0,02</t>
  </si>
  <si>
    <t>" Ošetření trávníku " 3,3</t>
  </si>
  <si>
    <t>" Zalití travnatých ploch po provzdušnění a dodání semen - 15 l na 1 m2 " 0,015*(3,3)</t>
  </si>
  <si>
    <t>Část:    ODPOJENÍ OD VODOVODU</t>
  </si>
  <si>
    <t>17</t>
  </si>
  <si>
    <t>25</t>
  </si>
  <si>
    <t>Část:    ODPOJENÍ OD KANALIZACE</t>
  </si>
  <si>
    <t xml:space="preserve">" Sejmutí ornice v místě rýh před jejich provedením pro vybourání vedení " </t>
  </si>
  <si>
    <t>" V místě vybourání trativodu " (9,6)*1,0</t>
  </si>
  <si>
    <t>OBJEKT Č. 1 - GARÁŽ - ODPOJENÍ OD KANALIZACE</t>
  </si>
  <si>
    <t>OBJEKT Č. 1 - GARÁŽ - ODPOJENÍ OD VODOVODU</t>
  </si>
  <si>
    <t xml:space="preserve">" Hloubení rýhy pro zpřístupnění bouraného potrubí  - 90 % celkové kubatury " </t>
  </si>
  <si>
    <t xml:space="preserve">" Hloubení rýhy pro zpřístupnění bouraného potrubí - 10 % celkové kubatury " </t>
  </si>
  <si>
    <t>" Hloubení rýhy pro zpřístupnění bouraného potrubí kanalizace "</t>
  </si>
  <si>
    <t>" Hloubení rýhy pro zpřístupnění bouraného potrubí trativodu "</t>
  </si>
  <si>
    <t>" Hloubení rýh v zeleni " (9,6)*0,8*1,2</t>
  </si>
  <si>
    <t>" Hloubení rýh v pod zpevněnými plochami " (27,0-9,6)*0,8*1,2</t>
  </si>
  <si>
    <t xml:space="preserve">" Pažení rýhy pro zpřístupnění bouraného potrubí - 50 % plochy " </t>
  </si>
  <si>
    <t>" Potrubí trativodu " ((27,0*1,2)*2)*0,5</t>
  </si>
  <si>
    <t>" Zpětný zásyp po vybourání potrubí kanalizace "</t>
  </si>
  <si>
    <t>" Zpětný zásyp po vybourání potrubí trativodu "</t>
  </si>
  <si>
    <t>" Zpětný zásyp vytěženou zeminou pro vedení v zeleni " (9,6)*0,8*1,2</t>
  </si>
  <si>
    <t>" Zpětný zásyp vytěženou zeminou pro vedení pod bouranými komunikacemi " (27,0-9,6)*0,8*1,2</t>
  </si>
  <si>
    <t>" Úprava ploch v místech pod objektem a bouranými zpevněnými plochami " (27,0-9,6)*0,8</t>
  </si>
  <si>
    <t>" Vybourání stávajícího potrubí trativodu vč. veškerých tvarovek. " 27,0</t>
  </si>
  <si>
    <t>Bourání stávajícího potrubí z PVC nebo PP DN 150</t>
  </si>
  <si>
    <t xml:space="preserve">871161901 SPC </t>
  </si>
  <si>
    <t>" V ceně i případné uřezání v místě napojení kanalizace na stávající jímky. "</t>
  </si>
  <si>
    <t>hnojivo průmyslové</t>
  </si>
  <si>
    <t xml:space="preserve">" Likvidace vybouraného materiálu " 0,206 </t>
  </si>
  <si>
    <t>" Vyklizení veškerého vybavení bouraného objektu vč. uskladněných věcí - skříní, stolů, polic, židlí, hasících přístrojů  a ostatního vybavení garáže vč. příslušenství a případného odmontování. 
V ceně také odvoz a likvidace suti / uložení na požadovanou meziskládku a zpětné nastěhování do míst určených investorem. "</t>
  </si>
  <si>
    <t>Sejmutí ornice plochy do 100 m2 tl vrstvy do 200 mm strojně</t>
  </si>
  <si>
    <t>Podklad ze štěrkodrtě ŠD tl 250 mm</t>
  </si>
  <si>
    <t>Geotextilie pro ochranu, separaci a filtraci netkaná měrná hmotnost do 300 g/m2</t>
  </si>
  <si>
    <t>979999901 SPC</t>
  </si>
  <si>
    <t>" V ceně dodávka a uložení buněk pro uskladnění materiálu z bouraných objektů , případné uzemnění apod.po dobu bouracích prací a výstavby přístavby, vč. následné demontáže a odvozu po kolaudaci přístavby a vystěhování uskladněných věcí do nových prostor. 
V ceně také přesun hmot. "</t>
  </si>
  <si>
    <t xml:space="preserve">" V ceně také zohledněna lepivost vytěžené zeminy a její svislé přemístění. 
V položce také zahrnuty náklady na odhoz do vzdálenosti d 3,0 m. Z tohoto důvodu neuvažováno s přemístěním vykopané zeminy na dočasnou skládku a z dočasné skládky." </t>
  </si>
  <si>
    <t>D+M Případně odstranění stávající krycí folie potrubí - Specifikace dle PD</t>
  </si>
  <si>
    <t>D+M Případné odstranění stávajícího signalizačního vodiče - Specifikace dle PD</t>
  </si>
  <si>
    <t>" Zpětný zásyp po vybourání vedení vedeného v zeleni vykopanou zeminou " (2,15)*0,8*1,0</t>
  </si>
  <si>
    <t>" Likvidace vybouraného materiálu " 20,271</t>
  </si>
  <si>
    <t>" Likvidace vybouraného materiálu " 15,728</t>
  </si>
  <si>
    <t>121112003 RTO</t>
  </si>
  <si>
    <t xml:space="preserve">" Sejmutí ornice mulče v místě rýh před jejich provedením pro vybourání vedení " </t>
  </si>
  <si>
    <t>" Sejmutí ornice a mulče v místě rýhy před garáží " (2,15)*1,0</t>
  </si>
  <si>
    <t xml:space="preserve">181311103 RTO </t>
  </si>
  <si>
    <t>Sejmutí ornice a mulče tl vrstvy do 200 mm ručně</t>
  </si>
  <si>
    <t>Rozprostření ornice amulče tl vrstvy do 200 mm v rovině nebo ve svahu do 1:5 ručně</t>
  </si>
  <si>
    <t>" Zpětné rozprostření sejmuté ornice a mulče " (2,15)*1,0</t>
  </si>
  <si>
    <t xml:space="preserve">Odpojení kabeláže z rozvaděče a jeho odsstranění ve viditelných částech - vnitřní vedení -  vč. odvozu a likvidace - Specifikace dle PD </t>
  </si>
  <si>
    <t>" Odpojení bourané kabeláže v rozvaděči vč. případného odstranění viditelně vedené - bez zásahu do stávajích omítek a konstrukcí. "</t>
  </si>
  <si>
    <t>" V ceně také ukončení kabeláže. Předpoklad odstranění kabeláže - max ± 10,0 m. "</t>
  </si>
  <si>
    <t>19a</t>
  </si>
  <si>
    <t>19b</t>
  </si>
  <si>
    <t>19c</t>
  </si>
  <si>
    <t>19d</t>
  </si>
  <si>
    <t>20a</t>
  </si>
  <si>
    <t>20b</t>
  </si>
  <si>
    <t>20c</t>
  </si>
  <si>
    <t>20d</t>
  </si>
  <si>
    <t>20e</t>
  </si>
  <si>
    <t>20f</t>
  </si>
  <si>
    <t>23a</t>
  </si>
  <si>
    <t>23b</t>
  </si>
  <si>
    <t>23c</t>
  </si>
  <si>
    <t>23d</t>
  </si>
  <si>
    <t>24a</t>
  </si>
  <si>
    <t>24b</t>
  </si>
  <si>
    <t>24c</t>
  </si>
  <si>
    <t>24d</t>
  </si>
  <si>
    <t>" Zpětný zásyp po vybourání potrubí vedeného v zeleni zeminou z výkopů " (3,3)*0,8*1,75</t>
  </si>
  <si>
    <t>" Vyklizení místností - 1. NP " 17,68+10,2</t>
  </si>
  <si>
    <t>" Vyklizení půdy  " 8,4*3,4</t>
  </si>
  <si>
    <t>" Vyklizení veškerého vybavení bouraného objektu vč. uskladněných věcí - skříní, stolů, polic, židlí, hasících přístrojů  a ostatního vybavení dílny vč. příslušenství a případného odmontování. 
V ceně také odvoz a likvidace suti / uložení na požadovanou meziskládku a zpětné nastěhování do míst určených investorem. "</t>
  </si>
  <si>
    <t>Bourání podkladů pod dlažby nebo mazanin betonových nebo z litého asfaltu tl do 100 mm pl přes 4 m2</t>
  </si>
  <si>
    <t>" Bourání kontaminovaných podlah v dílně " (8,4*3,4)*0,1</t>
  </si>
  <si>
    <t>Příplatek k bourání betonových mazanin za bourání mazanin se svařovanou sítí tl do 100 mm</t>
  </si>
  <si>
    <t>" Příplatek k vybourání kontaminovaných podlah za vyztužený beton sítí. " (8,4*3,4)*0,1</t>
  </si>
  <si>
    <t>" - Poplatek za uložení na skládce (skládkovné) stavebního a demoličního odpadu (včetně směsných stavebních a demoličních odpadů) obsahující nebezpečné látky kód odpadu 17 09 03 "</t>
  </si>
  <si>
    <t>" Likvidace vybouraného materiálu " 9,086</t>
  </si>
  <si>
    <t>" Likvidace vybouraného materiálu " 24,794</t>
  </si>
  <si>
    <t>" Likvidace vybouraného materiálu " 6,292+0,126</t>
  </si>
  <si>
    <t>11a</t>
  </si>
  <si>
    <t>11b</t>
  </si>
  <si>
    <t>11c</t>
  </si>
  <si>
    <t>11d</t>
  </si>
  <si>
    <t>12a</t>
  </si>
  <si>
    <t>12b</t>
  </si>
  <si>
    <t>12c</t>
  </si>
  <si>
    <t>12d</t>
  </si>
  <si>
    <t>13a</t>
  </si>
  <si>
    <t>13b</t>
  </si>
  <si>
    <t>13c</t>
  </si>
  <si>
    <t>13d</t>
  </si>
  <si>
    <t>Náklady spojené s odvozem a uložením suti - demolice objektů - vzdálenost skládky do 6 km</t>
  </si>
  <si>
    <t>Náklady spojené s odvozem a uložením suti - demolice objektů - základy - vzdálenost skládky do 6 km</t>
  </si>
  <si>
    <t>Náklady spojené s odvozem a uložením sypaniny / výkopku / navážky na skládku - vzdálenost skládky do 6 km</t>
  </si>
  <si>
    <t>Náklady spojené s odvozem a uložením suti - trativod + kanalizace - vzdálenost skládky do 6 km</t>
  </si>
  <si>
    <t>Náklady spojené s odvozem a uložením suti - lože pod komunikacemi - vzdálenost skládky do 6 km</t>
  </si>
  <si>
    <t>Náklady spojené s odvozem a uložením suti - asfalt a živice z komunikací - vzdálenost skládky do 6 km</t>
  </si>
  <si>
    <t>Náklady spojené s odvozem a uložením suti - demolice objektů - základy železobetoné - vzdálenost skládky do 6 km</t>
  </si>
  <si>
    <t>Náklady spojené s odvozem a uložením suti - demolice objektů - základy kamenné prolévané betonem - vzdálenost skládky do 6 km</t>
  </si>
  <si>
    <t>Náklady spojené s odvozem a uložením suti - obrubníky vč. lože - vzdálenost skládky do 6 km</t>
  </si>
  <si>
    <t>Náklady spojené s odvozem a uložením suti - obrubníky vč. lože, dlažby, žlabovky - vzdálenost skládky do 6 km</t>
  </si>
  <si>
    <t>" Hloubení rýhy pro zpřístupnění bouraného vedení. "</t>
  </si>
  <si>
    <t>" Úprava ploch před realizací sadových úprav - pro zatravněné plochy " 2,15</t>
  </si>
  <si>
    <t>" Rozebrání dlažby chodníku - za  dílnou "  1,5</t>
  </si>
  <si>
    <t>" Odstranění podkladu pod chondíkem " 1,5</t>
  </si>
  <si>
    <t>" Zhutnění podloží před realizací zpevněných ploch - asfaltové komunikace + dlažba " (6,8)*1,0+1,5</t>
  </si>
  <si>
    <t>" Úprava ploch před realizací zpevněných ploch."  (6,8)+(1,5)</t>
  </si>
  <si>
    <t>" Zámková dlažba "  1,5</t>
  </si>
  <si>
    <t>" - Betonová zámková dlažba - montáž vybourané - 1,5 m2 "</t>
  </si>
  <si>
    <t>" - Betonová zámková dlažba - dodávka - předpoklad - tl. 60 mm - rezerva 10 % - 0,15 m2 "</t>
  </si>
  <si>
    <t>" - Lože ze štěrkodrtě frakce 4-8 - tl. 40 mm - vč. štěrkodrtě pro vmetení do spar - 0,15 t "</t>
  </si>
  <si>
    <t>" - Podklad ze štěrkodrti ŠD-B frakce 0-32 mm - tl. 200 mm - 1,65 m2 "</t>
  </si>
  <si>
    <t>" Likvidace vybouraného materiálu " 0,435+3,944</t>
  </si>
  <si>
    <t>38f</t>
  </si>
  <si>
    <t>42</t>
  </si>
  <si>
    <t>47a</t>
  </si>
  <si>
    <t>47b</t>
  </si>
  <si>
    <t>47c</t>
  </si>
  <si>
    <t>47d</t>
  </si>
  <si>
    <t>48a</t>
  </si>
  <si>
    <t>48b</t>
  </si>
  <si>
    <t>48c</t>
  </si>
  <si>
    <t>48d</t>
  </si>
  <si>
    <t>49a</t>
  </si>
  <si>
    <t>49b</t>
  </si>
  <si>
    <t>49c</t>
  </si>
  <si>
    <t>49d</t>
  </si>
  <si>
    <t>" Bourání základů dílny - základové pasy - obvodové zdivo " (6,5+3,8+6,5+1,45*2)*0,9*0,45</t>
  </si>
  <si>
    <t>" Vyklizení veškerého vybavení bouraného objektu vč. uskladněných věcí - skříní, stolů, polic, židlí, hasících přístrojů  a ostatního vybavení skleníku vč. příslušenství a případného odmontování. 
V ceně také odvoz a likvidace suti / uložení na požadovanou meziskládku a zpětné nastěhování do míst určených investorem. "</t>
  </si>
  <si>
    <t>" Zásyp po vybouraných základech skleníku " 7,98</t>
  </si>
  <si>
    <t>" Zásyp po vybouraných základech garáže " (7,98)*1,7</t>
  </si>
  <si>
    <t>981011901 SPC</t>
  </si>
  <si>
    <t xml:space="preserve">Demolice budov tvořených ocelovou konstrukcí s výplní  postupným rozebíráním - skleník </t>
  </si>
  <si>
    <t>" V ceně také odvoz a likvidace suti z vybouraného skleníku. "</t>
  </si>
  <si>
    <t>" Odstranění stávajícího skleníku vč. odpojení od sítí a jejich odstranění vyjma odstranění betonových soklů. "</t>
  </si>
  <si>
    <t>" Bourání betonových soklů jako podlak pro ocelovou konstrukci skleníku. "</t>
  </si>
  <si>
    <t>" Sokl výšky 0,2 m " ((3,8+1,45*2)*0,3)*0,2</t>
  </si>
  <si>
    <t>" Sokl výšky 0,35 m " ((6,5+6,5)*0,3)*0,35</t>
  </si>
  <si>
    <r>
      <t xml:space="preserve">" Orientační pohledová plocha bouraných vnějších částí skleníků vč. oken a dveří pro nacenění:
 - Štítová stěna: 8,98 m2
 - Střecha: 27,96 m2;
 - Boční (podélné) stěny: 21,46 m2.
Celková pohledová plocha: </t>
    </r>
    <r>
      <rPr>
        <b/>
        <sz val="8"/>
        <color rgb="FF0000FF"/>
        <rFont val="Arial CE"/>
        <family val="2"/>
        <charset val="238"/>
      </rPr>
      <t>58,4 m2</t>
    </r>
    <r>
      <rPr>
        <sz val="8"/>
        <color indexed="12"/>
        <rFont val="Arial CE"/>
        <family val="2"/>
        <charset val="238"/>
      </rPr>
      <t>. "</t>
    </r>
  </si>
  <si>
    <t>Objekt:  ZPEVNĚNÉ PLOCHY + SADOVÉ ÚPRAVY</t>
  </si>
  <si>
    <r>
      <t xml:space="preserve">" V ceně demolice budovy, (podlaha - zámková dlažba vč. podkladní vrstvy - zohledněna v části rozpočtu </t>
    </r>
    <r>
      <rPr>
        <i/>
        <u/>
        <sz val="8"/>
        <color rgb="FF0000FF"/>
        <rFont val="Arial CE"/>
        <family val="2"/>
        <charset val="238"/>
      </rPr>
      <t>ZPEVNĚNÉ PLOCHY + SADOVÉ ÚPRAVY</t>
    </r>
    <r>
      <rPr>
        <sz val="8"/>
        <color indexed="12"/>
        <rFont val="Arial CE"/>
        <family val="2"/>
        <charset val="238"/>
      </rPr>
      <t xml:space="preserve">),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odpojení od sousedních objektů, úpravu okolní pláně s vyrovnáním výškových rozdílů apod. 
V ceně i případné drobné zemní práce pro přístup k bouraným základům. " </t>
    </r>
  </si>
  <si>
    <t>" Vybourání stávajícího skleníku vč. veškerého příslušenství "</t>
  </si>
  <si>
    <t>9d</t>
  </si>
  <si>
    <r>
      <t xml:space="preserve">" Orientační obestavěný prostor pro nacenění vybourání nadzemní části skleníku vč. bouraného soklu zohledněného v položce č. 6 →  </t>
    </r>
    <r>
      <rPr>
        <b/>
        <sz val="8"/>
        <color rgb="FF0000FF"/>
        <rFont val="Arial CE"/>
        <family val="2"/>
        <charset val="238"/>
      </rPr>
      <t>63,52 m3</t>
    </r>
    <r>
      <rPr>
        <sz val="8"/>
        <color indexed="12"/>
        <rFont val="Arial CE"/>
        <family val="2"/>
        <charset val="238"/>
      </rPr>
      <t>. "</t>
    </r>
  </si>
  <si>
    <r>
      <t>" POZN: Vybouraný betonový sokl je naceněn v položce č. 6</t>
    </r>
    <r>
      <rPr>
        <sz val="8"/>
        <color rgb="FFFF0000"/>
        <rFont val="Arial CE"/>
        <family val="2"/>
        <charset val="238"/>
      </rPr>
      <t>.</t>
    </r>
    <r>
      <rPr>
        <sz val="8"/>
        <color indexed="12"/>
        <rFont val="Arial CE"/>
        <family val="2"/>
        <charset val="238"/>
      </rPr>
      <t xml:space="preserve"> "</t>
    </r>
  </si>
  <si>
    <t xml:space="preserve">" V ceně demolice budovy, (podlaha v úrovni terénu zohledněna v pložkách č. 5 a 6), (základová / podkladní deska zohledněna v položce č. 8),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</si>
  <si>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 Vyklizení místností " 6,5*3,8</t>
  </si>
  <si>
    <t>Náklady spojené s odvozem a uložením suti - demolice objektů - nadzemní sokl - vzdálenost skládky do 6 km</t>
  </si>
  <si>
    <t>" Likvidace vybouraného materiálu " 4,266</t>
  </si>
  <si>
    <t>" Likvidace vybouraného materiálu " 17,556</t>
  </si>
  <si>
    <t>Hloubení jam zapažených v hornině třídy těžitelnosti II, skupiny 5 objem do 20 m3 strojně</t>
  </si>
  <si>
    <t>Zřízení příložného pažení stěn výkopu hl do 4 m</t>
  </si>
  <si>
    <t>Odstranění příložného pažení stěn hl do 4 m</t>
  </si>
  <si>
    <t>Zřízení rozepření stěn při pažení příložném hl do 4 m</t>
  </si>
  <si>
    <t>Odstranění rozepření stěn při pažení příložném hl do 4 m</t>
  </si>
  <si>
    <t>Demontáž poklopů betonových nebo ŽB včetně rámu hmotnosti přes 50 do 100 kg</t>
  </si>
  <si>
    <t>" Odstranění stávajícího poklopu vsakovací jímky. "</t>
  </si>
  <si>
    <t>Bourání šachet ze ŽB strojně obestavěného prostoru do 5 m3</t>
  </si>
  <si>
    <t>Náklady spojené s odvozem a uložením suti - vybourání jímky - vzdálenost skládky do 6 km</t>
  </si>
  <si>
    <t>" Hloubení rýhy pro zpřístupnění bouraného vedení vedeného v terénu " (2,15)*0,8*1,0</t>
  </si>
  <si>
    <t>" Vsakovací jímka u garáže " (3,24*3,24)*2</t>
  </si>
  <si>
    <t>" Sejmutí ornice v místě vybourání vsakovacích jímek "</t>
  </si>
  <si>
    <t>" Vsakovací jímky u garáže " (((3,24*3,24)*3,0)*0,5)*2</t>
  </si>
  <si>
    <t>" Odečet za objemy stávajících jímek " ((-((3,141592654*0,62*0,62)*3,0))*0,5)*2</t>
  </si>
  <si>
    <t>Hloubení jam zapažených v hornině třídy těžitelnosti I, skupiny 3 objem do 50 m3 strojně</t>
  </si>
  <si>
    <t>Hloubení jam zapažených v hornině třídy těžitelnosti II, skupiny 4 objem do 50 m3 strojně</t>
  </si>
  <si>
    <t xml:space="preserve">" Hloubení jámy pro vybourání vsakovacích jímek - 50 % z celkové kubatury " </t>
  </si>
  <si>
    <t>" Vsakovací jímky u garáže " (((3,24*3,24)*3,0)*0,4)*2</t>
  </si>
  <si>
    <t>" Odečet za objemy stávajících jímek " ((-((3,141592654*0,62*0,62)*3,0))*0,4)*2</t>
  </si>
  <si>
    <t xml:space="preserve">" Hloubení jámy pro vybourání vsakovacích jímek - 40 % z celkové kubatury " </t>
  </si>
  <si>
    <t xml:space="preserve">" Hloubení jámy pro vybourání vsakovacích jímek - 10 % z celkové kubatury " </t>
  </si>
  <si>
    <t>" Vsakovací jímky u garáže " (((3,24*3,24)*3,0)*0,1)*2</t>
  </si>
  <si>
    <t>" Odečet za objemy stávajících jímek " ((-((3,141592654*0,62*0,62)*3,0))*0,1)*2</t>
  </si>
  <si>
    <t>" Pažení stěny pro výkop pro vsakovací jímky - 80 % z celkové plochy "</t>
  </si>
  <si>
    <t>" Pažení stěny pro výkop pro vsakovací jímky " (((3,24*4)*3,0)*0,8)*2</t>
  </si>
  <si>
    <t>" Rozepření pro pažení stěn pro výkop pro bouranou vsakovací jímku " ((3,24*3,24)*3,0)*2</t>
  </si>
  <si>
    <t>" Zásyp jam po vybouraných jímkách "</t>
  </si>
  <si>
    <t>" Zásyp vykopanou zeminou - původní vytěžené množství. " (((3,24*3,24)*3,0)-((3,141592654*0,62*0,62)*3,0))*2</t>
  </si>
  <si>
    <t>"Zásyp dovezenou zeminou - objem původních jímek " ((3,141592654*0,62*0,62)*3,0)*2</t>
  </si>
  <si>
    <t>" Zásyp po vybouraných vsakovacích jímkách " (7,25)*1,7</t>
  </si>
  <si>
    <t>" Zpětné rozprostření sejmuté ornice - vybouráné jímky " (3,24*3,24)*2</t>
  </si>
  <si>
    <t>" Vybourání stávající vsakovací jímky " ((3,141592654*0,62*0,62)*3,0)*2</t>
  </si>
  <si>
    <t>43a</t>
  </si>
  <si>
    <t>43b</t>
  </si>
  <si>
    <t>43c</t>
  </si>
  <si>
    <t>43d</t>
  </si>
  <si>
    <t>" Likvidace vybouraného materiálu " 2,61+0,2</t>
  </si>
  <si>
    <t>45</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</si>
  <si>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D.b.07. ULOZENI BOURANEHO AREALOVEHO VODOVODU. </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</si>
  <si>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D.b.09. BOURANE AREALOVE VSAKOVACI JIMKY. </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</si>
  <si>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 KATASTRALNI SITUACNI VYKRES, D.b.08. ULOZENI BOURANEHO AREALOVEHO ELEKTRICKEHO VEDENI. </t>
  </si>
  <si>
    <t>Dostavba Domova pro seniory ve Vrchlabí - PD (garáže, dílna, skleník)</t>
  </si>
  <si>
    <t>Stavba:   Dostavba Domova pro seniory ve Vrchlabí - PD (garáže, dílna, skleník)</t>
  </si>
  <si>
    <t>Náklady spojené s odvozem a uložením suti - demolice objektů - betonová podlaha kontaminována olejem - vzdálenost skládky do 30 km</t>
  </si>
  <si>
    <t>" - Příplatek k vodorovnému přemístění suti na skládku ZKD 1 km přes 1 km - uvažována skládka ve vzdálenosti do 30 km  "</t>
  </si>
  <si>
    <t>997013631 RTO</t>
  </si>
  <si>
    <t>" V ceně zohledněn odhoz ornice do vzdálenosti 3,0 m. Z tohoto důvodu neuvažován přesun na dočasnou skládku staveniště. "</t>
  </si>
  <si>
    <t xml:space="preserve">" Odstranění živičného vrstvy asfaltové komunikace ručně - z důvodů bourání připojení silového vedení " </t>
  </si>
  <si>
    <t>Datum: 03/2022</t>
  </si>
  <si>
    <t>CS ÚRS 2022 01</t>
  </si>
  <si>
    <t xml:space="preserve">CS ÚRS/TEO 2022 01 </t>
  </si>
  <si>
    <t>CS ÚRS/TEO 2022 01</t>
  </si>
  <si>
    <t xml:space="preserve">CS ÚRS 2022 01 </t>
  </si>
  <si>
    <r>
      <t>" Přemístění stávajícího chladícího boxu / rozmontování a opětovné sestavení vč. veškerého příslušenství (případné podkladní panely, apod.) na místo určené investorem, vč. zajištění nepřetržitého chodu. 
 V ceně také nutné odpojení a zajištění napojení veškerého vedení inžanýrských sítí vč. prací s nimi spojených - např. elektro, voda, … .</t>
    </r>
    <r>
      <rPr>
        <sz val="8"/>
        <color indexed="12"/>
        <rFont val="Arial CE"/>
        <family val="2"/>
        <charset val="238"/>
      </rPr>
      <t xml:space="preserve"> " </t>
    </r>
  </si>
  <si>
    <t>D+M Dočasné uzamykatelné buňky - Specifikace dle PD</t>
  </si>
  <si>
    <t>" Dočasné uzamykatelné buňky. "</t>
  </si>
  <si>
    <t>" Sejmutí ornice v místech umístění dočasných buněk " (6,0+0,5*2)*(6,0+0,5*2)</t>
  </si>
  <si>
    <t>" Odvoz zeminy ornice sejmuté pro umístění dočasných buněk " (49,0)*0,15</t>
  </si>
  <si>
    <t>" Podklad pod umistěné dočasné buňky " (6,0+0,5*2)*(6,0+0,5*2)</t>
  </si>
  <si>
    <t>" Geotextílie pod podkladní vrstvu z ŠD pod dočasné buňky " (6,0+0,5*2)*(6,0+0,5*2)</t>
  </si>
  <si>
    <t>979999902 SPC</t>
  </si>
  <si>
    <t>D+M  Fóliovník - Specifikace dle PD</t>
  </si>
  <si>
    <t>" Dočasný zahraní fóliovník  bílý s UV filtrem a ocelovou pozinkovanou konstrukcí - rozměr 3,0×8,0 m. "</t>
  </si>
  <si>
    <t>" Vytrhání stojatých obrub - chodníkových / silničních " 3,2+7,2+7,7</t>
  </si>
  <si>
    <t>" V ceně dodávka a uložení, sestavení, vč natažení fólie, případné upevňovací prvky, a další veškeré nutné práce a přísůlušenství související se sestavením fóliovníku.
V ceně také příprava zeminy pro případné sazební práce - odstranění travin, odplevelení, hnojení, a další nutné práce související s přípravou zeminy pro sázení ve fóliovníku.
V ceně také přesun hmot. "</t>
  </si>
  <si>
    <t>Odstranění stromů jehličnatých průměru kmene přes 100 do 300 mm</t>
  </si>
  <si>
    <t>" Kácení stromu pro umístění fóliovníku. "</t>
  </si>
  <si>
    <t>" Kácení strom nutných pro provedení bouracích prací "</t>
  </si>
  <si>
    <t>" Ostranění pařezů stromů jehličnatých - pro fóliovník. "</t>
  </si>
  <si>
    <t>" Náklady spojené s odstranění stávajících stromů - předpokládaná maximální hmotnost - cca 13,25 t "</t>
  </si>
  <si>
    <t>28a</t>
  </si>
  <si>
    <t>28b</t>
  </si>
  <si>
    <t>28c</t>
  </si>
  <si>
    <t>28d</t>
  </si>
  <si>
    <t>34</t>
  </si>
  <si>
    <t>40</t>
  </si>
  <si>
    <t>" V místě vybourání kanalizace " (7,8+6,2)*1,0</t>
  </si>
  <si>
    <t>" Hloubení rýh v zeleni " (7,8+6,2)*0,8*1,5</t>
  </si>
  <si>
    <t>" Příplatek - 10 % " ((27,87+22,3+5,57)+(42,72))*0,1</t>
  </si>
  <si>
    <t>" Potrubí kanalizace " (((7,8+6,2)*1,5)*2)*0,5</t>
  </si>
  <si>
    <t>" Zpětný zásyp zeminou z výkopů " (7,8+6,2)*0,8*1,5</t>
  </si>
  <si>
    <t>" Úprava ploch před realizací sadových úprav - pro zatravněné plochy " ((7,8+6,2)+(9,6))*1,0+(3,24*3,24)*2</t>
  </si>
  <si>
    <t>" Zpětné rozprostření sejmuté ornice " ((7,8+6,2)+(9,6))*1,0</t>
  </si>
  <si>
    <t>" Úprava zeminy před dosevem -1x  " (44,6)*1</t>
  </si>
  <si>
    <t>" Úprava zeminy před dosevem - 1x  " (44,6)*1</t>
  </si>
  <si>
    <t>" Provzdušnění trávníku s přísevem osiva - zpětné položení stávajícího trávníku - ornice " ((7,8+6,2)+(9,6))*1,0+(3,24*3,24)*2</t>
  </si>
  <si>
    <t>" Prořezání trávníku s přísevem osiva - zpětné položení stávajícího trávníku - ornice " ((7,8+6,2)+(9,6))*1,0+(3,24*3,24)*2</t>
  </si>
  <si>
    <t>" Osivo jako přísev při obnově stávajícího trávníku - provzdušnění - spotřeba 5 g/m2 " (44,6)*0,005</t>
  </si>
  <si>
    <t>" Osivo jako přísev při obnově stávajícího trávníku - prořezání - spotřeba 5 g/m2 " (44,6)*0,005</t>
  </si>
  <si>
    <t>" Provedení zapískování trávníku vrstvou písku - zatravněné plochy - zpětné dání ornice " 23,6*1,0+(3,24*3,24)*2</t>
  </si>
  <si>
    <t>" Písek pro zapískování trávníku - spotřeba 9,8 kg/m2 " (44,6)*0,0098</t>
  </si>
  <si>
    <t>" Dvojnásobný postřik trávníku přípravkem podporující zakořenění a růst - zatravněné plochy  " (44,6)</t>
  </si>
  <si>
    <t>" Spotřeba - 50 ml / 100 m2 → 0,0005 l / 1 m2 " (0,0005*(44,6))*2</t>
  </si>
  <si>
    <t>" Dvojnásobné odplevelení trávníku před realizací sadových úprav. " (44,6)*2</t>
  </si>
  <si>
    <t>" Hnojení půdy travnatých ploch hnojivy " ((44,6)*0,02)/1000</t>
  </si>
  <si>
    <t>" Hnojivo pro hnojení travnatých ploch - spotřeba 20 g/m2 " (44,6)*0,02</t>
  </si>
  <si>
    <t>" Ošetření trávníku " 44,6</t>
  </si>
  <si>
    <t>" Zalití travnatých ploch po provzdušnění a dodání semen - 15 l na 1 m2 " 0,015*(44,6)</t>
  </si>
  <si>
    <t>" Vybourání stávajícího potrubí kanalizace vč. veškerých tvarovek. " 7,8+6,2</t>
  </si>
  <si>
    <t>" Odstranění krycí fólie potrubí vč. odvozu a likvidace suti. " 7,8+6,2</t>
  </si>
  <si>
    <t>" Odstranění signalizačního vodiče potrubí vč. případného odpojení, odvozu a likvidace suti. " 7,8+6,2</t>
  </si>
  <si>
    <t>" Hloubení rýh v pod objektem a zpevněnými plochami " ((16,1-3,3)*0,8*1,75)*0,9</t>
  </si>
  <si>
    <t>" Hloubení rýh v pod objektem a zpevněnými plochami " ((16,1-3,3)*0,8*1,75)*0,1</t>
  </si>
  <si>
    <t>" Příplatek - 10 % " (20,29+2,25)*0,1</t>
  </si>
  <si>
    <t>" Pažení rýhy pro zpřístupnění bouraného potrubí - 50 % plochy " ((16,1)*1,75*2)*0,5</t>
  </si>
  <si>
    <t>" Zpětný zásyp po vybourání potrubí vedeného pod objektem a pod bouranými zpevněnými plcohami - zeminou z výkopů " (16,1-3,3)*0,8*1,75</t>
  </si>
  <si>
    <t>" Úprava ploch v místech pod objektem a bouranými zpevněnými plochami " (16,1-3,3)*0,8</t>
  </si>
  <si>
    <t>" Vybourání stávajícího vodovodního potrubí vč. tvarovek. "  (16,1)</t>
  </si>
  <si>
    <t>" Odstranění krycí fólie potrubí vč. odvozu a likvidace suti. " 16,1</t>
  </si>
  <si>
    <t>" Odstranění signalizačního vodiče potrubí vč. případného odpojení, odvozu a likvidace suti. " 16,1</t>
  </si>
  <si>
    <t>" Odstrannění podkladů asfaltové plochy ručně - z důvodů bourání připojení silového vedení " ((34,9+2,0-2,15)*1,0)</t>
  </si>
  <si>
    <t>" Odstranění živičného vrstvy asfaltové komunikace ručně - z důvodů bourání připojení silového vedení " ((34,9+2,0-2,15)*1,0)</t>
  </si>
  <si>
    <t>" Hloubení rýhy pro zpřístupnění bouraného vedení vedeného pod zpevněnými plochami " (34,9+2,0-2,15)*0,8*1,0</t>
  </si>
  <si>
    <t>" Příplatek - 10 % " (29,52)*0,1</t>
  </si>
  <si>
    <t>" Pažení rýhy pro zpřístupnění bouraného vedení - 50 % plochy " ((34,9+2,0)*1,0*2)*0,5</t>
  </si>
  <si>
    <t>" Zhutnění podloží před realizací zpevněných ploch - asfaltové komunikace " (34,9+2,0-2,15)*1,0</t>
  </si>
  <si>
    <t>" Zpětný zásyp po vybourání vedení vedeného v komunikaci štěrkem " (34,9+2,0-2,15)*0,8*1,0</t>
  </si>
  <si>
    <t>" Zásyp ze štěrkodrti pro bourané vedení v komunikaci " (27,8)*2,0</t>
  </si>
  <si>
    <t>" Úprava ploch před realizací zpevněných ploch."  34,75</t>
  </si>
  <si>
    <t>" Odvoz zeminy z výkopových prací - zemina " 27,8</t>
  </si>
  <si>
    <t>" Asfaltová plocha " (34,9+2,0-2,15)*1,0</t>
  </si>
  <si>
    <t>" - Asfaltový beton střednězrnný ABS II - tl. 50 mm - 38,25 m2 "</t>
  </si>
  <si>
    <t>" - Spojovací postřik asfaltem - 0,30 kg/m2 - 38,25 m2 "</t>
  </si>
  <si>
    <t>" - Obalované kamenivo střednězrnné OKS I - tl. 70 mm - 38,25 m2 "</t>
  </si>
  <si>
    <t>" - Podklad ze štěrkodrti ŠD frakce 0-32 mm - tl. 200 mm - 38,25 m2 "</t>
  </si>
  <si>
    <t>" - Podklad ze štěrkodrti ŠD frakce 32-63 mm - tl. 170 mm - 38,25 m2 "</t>
  </si>
  <si>
    <t>" Výškové napojení asfaltových ploch na stávající komunikaci " (34,9+2,0-2,15)*2</t>
  </si>
  <si>
    <t>" Odstranění krycí fólie kabeláže  " (34,9+2,0)</t>
  </si>
  <si>
    <t>" Odstranění zemnícího drátu / pásku při vedení kabeláže " (34,9+2,0)</t>
  </si>
  <si>
    <t>" Vybourání stávajícího kabelového vedení v zemině vč. případných svorek, spojek. "  (34,9+2,0)</t>
  </si>
  <si>
    <t>" Vybourání ochranných trubek kabelového vedení. " (34,9+2,0)</t>
  </si>
  <si>
    <t>" Odstranění podkladu ve společné délce s odpojením garáže " (25,2+2,0)*1,0</t>
  </si>
  <si>
    <t>" Odstranění asfaltu ve společné délce s odpojením garáže " (25,2+2,0)*1,0</t>
  </si>
  <si>
    <t>" Hloubení rýhy ve společné délce s odpojením garáže " (25,2+2,0)*0,8*1,0</t>
  </si>
  <si>
    <t>" Odstranění stávajícího žlabu po délce dílny " 9,5</t>
  </si>
  <si>
    <t>" Pažení rýhy ve společné délce s odpojením garáže - 50 % plochy " ((25,2+2,0)*1,0*2)*0,5</t>
  </si>
  <si>
    <t>" Zpětný zásyp po vybourání vedení ve společné rýze s odpojením garáže - štěrkem " (25,2+2,0)*0,8*1,0</t>
  </si>
  <si>
    <t>" Úprava zeminy před dosevem - 1x " (3,3)*1</t>
  </si>
  <si>
    <t>" Úprava zeminy před dosevem -1x " (3,3)*1</t>
  </si>
  <si>
    <t>210812901 SPC</t>
  </si>
  <si>
    <t>" Vytrhání obrub záhonových " 8,8+2,0+3,0</t>
  </si>
  <si>
    <t>" Likvidace vybouraného materiálu " 10,452+1,914+3,711+0,552+2,375</t>
  </si>
  <si>
    <t xml:space="preserve">" Vytrhání obrub - z důvodů bourání připojení silového vedení " (3,0) </t>
  </si>
  <si>
    <t>" Vytrhání obrub - z důvodů bourání připojení silového vedení " (4,0+1,5)</t>
  </si>
  <si>
    <t>" Zpětné osazení silničního obrubníku. " 3,0</t>
  </si>
  <si>
    <t>" Zpětné osazení očištěného zahradního obrubníku. " 5,5</t>
  </si>
  <si>
    <t>" Očištění vybouraných obrubníků " 5,5</t>
  </si>
  <si>
    <t>" Očištění vybouraných obrubníků " 3,0</t>
  </si>
  <si>
    <t>" Likvidace vybouraného materiálu " 0,615+0,220</t>
  </si>
  <si>
    <t xml:space="preserve">Soupis bouracích prací </t>
  </si>
  <si>
    <t>SOUPIS PRACÍ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</si>
</sst>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0"/>
    <numFmt numFmtId="166" formatCode="#,##0.00_ ;\-#,##0.00\ "/>
    <numFmt numFmtId="167" formatCode="0.0000"/>
  </numFmts>
  <fonts count="125">
    <font>
      <sz val="11"/>
      <color theme="1"/>
      <name val="Calibri"/>
      <family val="2"/>
      <charset val="238"/>
      <scheme val="minor"/>
    </font>
    <font>
      <sz val="10"/>
      <name val="Arial CE"/>
      <family val="2"/>
      <charset val="238"/>
    </font>
    <font>
      <sz val="10"/>
      <name val="Arial"/>
      <family val="2"/>
      <charset val="238"/>
    </font>
    <font>
      <b/>
      <sz val="14"/>
      <name val="Arial"/>
      <family val="2"/>
      <charset val="238"/>
    </font>
    <font>
      <b/>
      <sz val="12"/>
      <name val="Arial"/>
      <family val="2"/>
      <charset val="238"/>
    </font>
    <font>
      <b/>
      <sz val="10"/>
      <name val="Arial CE"/>
      <family val="2"/>
      <charset val="238"/>
    </font>
    <font>
      <b/>
      <sz val="10"/>
      <name val="Arial"/>
      <family val="2"/>
      <charset val="238"/>
    </font>
    <font>
      <sz val="9"/>
      <name val="Arial"/>
      <family val="2"/>
      <charset val="238"/>
    </font>
    <font>
      <sz val="12"/>
      <name val="Arial"/>
      <family val="2"/>
      <charset val="238"/>
    </font>
    <font>
      <b/>
      <sz val="9"/>
      <name val="Arial"/>
      <family val="2"/>
      <charset val="238"/>
    </font>
    <font>
      <sz val="8"/>
      <name val="Arial"/>
      <family val="2"/>
      <charset val="238"/>
    </font>
    <font>
      <sz val="8"/>
      <name val="Arial CE"/>
      <family val="2"/>
      <charset val="238"/>
    </font>
    <font>
      <sz val="8"/>
      <color indexed="9"/>
      <name val="Arial"/>
      <family val="2"/>
      <charset val="238"/>
    </font>
    <font>
      <b/>
      <u/>
      <sz val="10"/>
      <name val="Arial CE"/>
      <family val="2"/>
      <charset val="238"/>
    </font>
    <font>
      <u/>
      <sz val="10"/>
      <name val="Arial CE"/>
      <family val="2"/>
      <charset val="238"/>
    </font>
    <font>
      <b/>
      <i/>
      <sz val="10"/>
      <name val="Arial CE"/>
      <family val="2"/>
      <charset val="238"/>
    </font>
    <font>
      <b/>
      <sz val="10"/>
      <color rgb="FFFF0000"/>
      <name val="Arial"/>
      <family val="2"/>
      <charset val="238"/>
    </font>
    <font>
      <sz val="8"/>
      <color indexed="12"/>
      <name val="Arial CE"/>
      <family val="2"/>
      <charset val="238"/>
    </font>
    <font>
      <sz val="8"/>
      <color indexed="8"/>
      <name val="Arial"/>
      <family val="2"/>
      <charset val="238"/>
    </font>
    <font>
      <sz val="8"/>
      <name val="MS Sans Serif"/>
      <family val="2"/>
      <charset val="238"/>
    </font>
    <font>
      <sz val="7"/>
      <name val="Arial CE"/>
      <family val="2"/>
      <charset val="238"/>
    </font>
    <font>
      <b/>
      <sz val="8"/>
      <name val="Arial CE"/>
      <family val="2"/>
      <charset val="238"/>
    </font>
    <font>
      <sz val="8"/>
      <name val="Arial CYR"/>
      <charset val="238"/>
    </font>
    <font>
      <b/>
      <sz val="10"/>
      <color rgb="FFFF0000"/>
      <name val="MS Sans Serif"/>
      <family val="2"/>
    </font>
    <font>
      <sz val="8"/>
      <name val="MS Sans Serif"/>
      <family val="2"/>
    </font>
    <font>
      <sz val="8"/>
      <color indexed="18"/>
      <name val="Arial CE"/>
      <family val="2"/>
      <charset val="238"/>
    </font>
    <font>
      <u/>
      <sz val="10"/>
      <color theme="10"/>
      <name val="Arial CE"/>
      <family val="2"/>
      <charset val="238"/>
    </font>
    <font>
      <b/>
      <sz val="8"/>
      <name val="MS Sans Serif"/>
      <family val="2"/>
      <charset val="238"/>
    </font>
    <font>
      <b/>
      <sz val="10"/>
      <color rgb="FFFF0000"/>
      <name val="MS Sans Serif"/>
      <family val="2"/>
      <charset val="238"/>
    </font>
    <font>
      <b/>
      <u/>
      <sz val="8"/>
      <color indexed="10"/>
      <name val="Arial CE"/>
      <family val="2"/>
      <charset val="238"/>
    </font>
    <font>
      <b/>
      <sz val="8"/>
      <color rgb="FFFF0000"/>
      <name val="MS Sans Serif"/>
      <family val="2"/>
    </font>
    <font>
      <sz val="8"/>
      <color rgb="FFFF0000"/>
      <name val="MS Sans Serif"/>
      <family val="2"/>
      <charset val="238"/>
    </font>
    <font>
      <sz val="12"/>
      <name val="MS Sans Serif"/>
      <family val="2"/>
      <charset val="238"/>
    </font>
    <font>
      <b/>
      <sz val="11"/>
      <color rgb="FFFF0000"/>
      <name val="Arial CE"/>
      <family val="2"/>
      <charset val="238"/>
    </font>
    <font>
      <sz val="8"/>
      <color rgb="FF0000FF"/>
      <name val="Arial CE"/>
      <family val="2"/>
      <charset val="238"/>
    </font>
    <font>
      <b/>
      <sz val="10"/>
      <color rgb="FFFF0000"/>
      <name val="MS Sans Serif"/>
      <charset val="238"/>
    </font>
    <font>
      <sz val="10"/>
      <color rgb="FFFF0000"/>
      <name val="Arial CE"/>
      <family val="2"/>
      <charset val="238"/>
    </font>
    <font>
      <sz val="8"/>
      <color rgb="FF7030A0"/>
      <name val="Arial"/>
      <family val="2"/>
      <charset val="238"/>
    </font>
    <font>
      <b/>
      <sz val="8"/>
      <color rgb="FFFF0000"/>
      <name val="Arial"/>
      <family val="2"/>
      <charset val="238"/>
    </font>
    <font>
      <b/>
      <sz val="12"/>
      <color rgb="FFFF0000"/>
      <name val="MS Sans Serif"/>
      <family val="2"/>
    </font>
    <font>
      <b/>
      <sz val="10"/>
      <name val="MS Sans Serif"/>
      <family val="2"/>
    </font>
    <font>
      <b/>
      <sz val="11"/>
      <color rgb="FFFF0000"/>
      <name val="Trebuchet MS"/>
      <family val="2"/>
      <charset val="238"/>
    </font>
    <font>
      <sz val="8"/>
      <color indexed="12"/>
      <name val="Arial CE"/>
      <family val="2"/>
    </font>
    <font>
      <b/>
      <sz val="8.5"/>
      <color rgb="FFFF0000"/>
      <name val="MS Sans Serif"/>
      <family val="2"/>
    </font>
    <font>
      <sz val="8.5"/>
      <name val="MS Sans Serif"/>
      <family val="2"/>
    </font>
    <font>
      <b/>
      <sz val="11"/>
      <color rgb="FFFF0000"/>
      <name val="MS Sans Serif"/>
      <family val="2"/>
    </font>
    <font>
      <i/>
      <sz val="8"/>
      <name val="Arial CE"/>
      <family val="2"/>
      <charset val="238"/>
    </font>
    <font>
      <i/>
      <sz val="8"/>
      <color indexed="18"/>
      <name val="Arial CE"/>
      <family val="2"/>
      <charset val="238"/>
    </font>
    <font>
      <i/>
      <sz val="8"/>
      <color indexed="12"/>
      <name val="Arial CE"/>
      <family val="2"/>
      <charset val="238"/>
    </font>
    <font>
      <b/>
      <sz val="12"/>
      <color rgb="FFFF0000"/>
      <name val="MS Sans Serif"/>
      <family val="2"/>
      <charset val="238"/>
    </font>
    <font>
      <u/>
      <sz val="8"/>
      <color theme="10"/>
      <name val="MS Sans Serif"/>
      <family val="2"/>
      <charset val="238"/>
    </font>
    <font>
      <sz val="8"/>
      <color theme="1"/>
      <name val="Trebuchet MS"/>
      <family val="2"/>
    </font>
    <font>
      <b/>
      <sz val="10"/>
      <color rgb="FFFF0000"/>
      <name val="Arial CE"/>
      <family val="2"/>
      <charset val="238"/>
    </font>
    <font>
      <b/>
      <sz val="8"/>
      <color rgb="FFFF0000"/>
      <name val="MS Sans Serif"/>
      <family val="2"/>
      <charset val="238"/>
    </font>
    <font>
      <b/>
      <sz val="8"/>
      <name val="Arial"/>
      <family val="2"/>
      <charset val="238"/>
    </font>
    <font>
      <sz val="8"/>
      <color indexed="20"/>
      <name val="MS Sans Serif"/>
      <family val="2"/>
      <charset val="238"/>
    </font>
    <font>
      <sz val="11"/>
      <color theme="1"/>
      <name val="Calibri"/>
      <family val="2"/>
      <scheme val="minor"/>
    </font>
    <font>
      <b/>
      <sz val="12"/>
      <color rgb="FFFF0000"/>
      <name val="Arial CE"/>
      <family val="2"/>
      <charset val="238"/>
    </font>
    <font>
      <sz val="8"/>
      <color rgb="FFFF0000"/>
      <name val="Arial CE"/>
      <family val="2"/>
      <charset val="238"/>
    </font>
    <font>
      <b/>
      <sz val="14"/>
      <color rgb="FFFF0000"/>
      <name val="Arial CE"/>
      <family val="2"/>
      <charset val="238"/>
    </font>
    <font>
      <b/>
      <sz val="8.5"/>
      <name val="MS Sans Serif"/>
      <family val="2"/>
    </font>
    <font>
      <i/>
      <sz val="8"/>
      <name val="MS Sans Serif"/>
      <family val="2"/>
      <charset val="238"/>
    </font>
    <font>
      <b/>
      <sz val="14"/>
      <color rgb="FFFF0000"/>
      <name val="Calibri"/>
      <family val="2"/>
      <charset val="238"/>
      <scheme val="minor"/>
    </font>
    <font>
      <sz val="8"/>
      <color rgb="FFFF0000"/>
      <name val="MS Sans Serif"/>
      <family val="2"/>
    </font>
    <font>
      <sz val="10"/>
      <name val="Arial CE"/>
      <family val="2"/>
    </font>
    <font>
      <sz val="8"/>
      <color indexed="54"/>
      <name val="Arial CE"/>
      <family val="2"/>
      <charset val="238"/>
    </font>
    <font>
      <b/>
      <sz val="10"/>
      <name val="MS Sans Serif"/>
      <family val="2"/>
      <charset val="238"/>
    </font>
    <font>
      <b/>
      <sz val="8"/>
      <name val="MS Sans Serif"/>
      <family val="2"/>
    </font>
    <font>
      <sz val="8"/>
      <color indexed="54"/>
      <name val="MS Sans Serif"/>
      <family val="2"/>
      <charset val="238"/>
    </font>
    <font>
      <sz val="8"/>
      <color indexed="18"/>
      <name val="Arial CE"/>
      <family val="2"/>
    </font>
    <font>
      <b/>
      <i/>
      <sz val="8"/>
      <name val="Arial CE"/>
      <family val="2"/>
      <charset val="238"/>
    </font>
    <font>
      <sz val="8"/>
      <color indexed="10"/>
      <name val="MS Sans Serif"/>
      <family val="2"/>
      <charset val="238"/>
    </font>
    <font>
      <sz val="8"/>
      <color indexed="10"/>
      <name val="Arial CE"/>
      <family val="2"/>
      <charset val="238"/>
    </font>
    <font>
      <b/>
      <sz val="12"/>
      <name val="MS Sans Serif"/>
      <family val="2"/>
    </font>
    <font>
      <b/>
      <sz val="11"/>
      <color rgb="FFFF0000"/>
      <name val="Arial"/>
      <family val="2"/>
      <charset val="238"/>
    </font>
    <font>
      <sz val="8"/>
      <name val="Arial CE"/>
      <family val="2"/>
    </font>
    <font>
      <sz val="11"/>
      <color rgb="FFFF0000"/>
      <name val="Calibri"/>
      <family val="2"/>
      <charset val="238"/>
      <scheme val="minor"/>
    </font>
    <font>
      <sz val="10"/>
      <name val="Arial CE"/>
      <family val="2"/>
      <charset val="238"/>
    </font>
    <font>
      <b/>
      <sz val="9"/>
      <color rgb="FFFF0000"/>
      <name val="MS Sans Serif"/>
      <charset val="238"/>
    </font>
    <font>
      <b/>
      <sz val="8"/>
      <color rgb="FFFF0000"/>
      <name val="MS Sans Serif"/>
      <charset val="238"/>
    </font>
    <font>
      <b/>
      <sz val="11"/>
      <color rgb="FFFF0000"/>
      <name val="Calibri"/>
      <family val="2"/>
      <charset val="238"/>
      <scheme val="minor"/>
    </font>
    <font>
      <sz val="8"/>
      <name val="MS Sans Serif"/>
      <charset val="1"/>
    </font>
    <font>
      <i/>
      <sz val="8"/>
      <color rgb="FF0000FF"/>
      <name val="Arial CE"/>
      <family val="2"/>
      <charset val="238"/>
    </font>
    <font>
      <b/>
      <sz val="11"/>
      <color rgb="FFFF0000"/>
      <name val="MS Sans Serif"/>
      <charset val="238"/>
    </font>
    <font>
      <b/>
      <sz val="11"/>
      <color indexed="10"/>
      <name val="Arial CE"/>
      <family val="2"/>
      <charset val="238"/>
    </font>
    <font>
      <b/>
      <sz val="12"/>
      <color rgb="FFFF0000"/>
      <name val="MS Sans Serif"/>
      <charset val="238"/>
    </font>
    <font>
      <sz val="8"/>
      <name val="MS Sans Serif"/>
      <charset val="238"/>
    </font>
    <font>
      <sz val="9"/>
      <color rgb="FFFF0000"/>
      <name val="Arial CE"/>
      <family val="2"/>
      <charset val="238"/>
    </font>
    <font>
      <b/>
      <sz val="11"/>
      <color rgb="FFFF0000"/>
      <name val="MS Sans Serif"/>
      <family val="2"/>
      <charset val="238"/>
    </font>
    <font>
      <sz val="11"/>
      <color rgb="FFFF0000"/>
      <name val="Arial"/>
      <family val="2"/>
      <charset val="238"/>
    </font>
    <font>
      <sz val="11"/>
      <color rgb="FFFF0000"/>
      <name val="Arial CE"/>
      <family val="2"/>
      <charset val="238"/>
    </font>
    <font>
      <b/>
      <sz val="12"/>
      <name val="Arial CE"/>
      <family val="2"/>
      <charset val="238"/>
    </font>
    <font>
      <b/>
      <sz val="16"/>
      <color rgb="FFFF0000"/>
      <name val="Calibri"/>
      <family val="2"/>
      <charset val="238"/>
      <scheme val="minor"/>
    </font>
    <font>
      <b/>
      <sz val="9"/>
      <name val="MS Sans Serif"/>
      <charset val="238"/>
    </font>
    <font>
      <b/>
      <sz val="8"/>
      <name val="MS Sans Serif"/>
      <charset val="238"/>
    </font>
    <font>
      <b/>
      <sz val="8"/>
      <color rgb="FF0000FF"/>
      <name val="Arial CE"/>
      <family val="2"/>
      <charset val="238"/>
    </font>
    <font>
      <u/>
      <sz val="8"/>
      <color rgb="FF0000FF"/>
      <name val="Arial CE"/>
      <family val="2"/>
      <charset val="238"/>
    </font>
    <font>
      <b/>
      <i/>
      <u/>
      <sz val="8"/>
      <color rgb="FF0000FF"/>
      <name val="Arial CE"/>
      <family val="2"/>
      <charset val="238"/>
    </font>
    <font>
      <b/>
      <sz val="10"/>
      <name val="MS Sans Serif"/>
      <charset val="238"/>
    </font>
    <font>
      <b/>
      <sz val="11"/>
      <name val="Arial CE"/>
      <family val="2"/>
      <charset val="238"/>
    </font>
    <font>
      <b/>
      <sz val="12"/>
      <name val="MS Sans Serif"/>
      <charset val="238"/>
    </font>
    <font>
      <sz val="11"/>
      <color theme="1"/>
      <name val="Calibri"/>
      <family val="2"/>
      <charset val="238"/>
      <scheme val="minor"/>
    </font>
    <font>
      <b/>
      <sz val="12"/>
      <color theme="1"/>
      <name val="Calibri"/>
      <family val="2"/>
      <charset val="238"/>
      <scheme val="minor"/>
    </font>
    <font>
      <b/>
      <sz val="14"/>
      <color rgb="FFFF0000"/>
      <name val="Trebuchet MS"/>
      <family val="2"/>
      <charset val="238"/>
    </font>
    <font>
      <b/>
      <sz val="11"/>
      <color theme="1"/>
      <name val="Calibri"/>
      <family val="2"/>
      <charset val="238"/>
      <scheme val="minor"/>
    </font>
    <font>
      <u/>
      <sz val="8"/>
      <color theme="10"/>
      <name val="MS Sans Serif"/>
      <family val="2"/>
    </font>
    <font>
      <i/>
      <sz val="8"/>
      <color indexed="10"/>
      <name val="Arial CE"/>
      <family val="2"/>
      <charset val="238"/>
    </font>
    <font>
      <sz val="10"/>
      <color rgb="FFFF0000"/>
      <name val="MS Sans Serif"/>
      <family val="2"/>
      <charset val="238"/>
    </font>
    <font>
      <b/>
      <sz val="14"/>
      <color theme="1"/>
      <name val="Calibri"/>
      <family val="2"/>
      <charset val="238"/>
      <scheme val="minor"/>
    </font>
    <font>
      <b/>
      <sz val="14"/>
      <color rgb="FFFF0000"/>
      <name val="MS Sans Serif"/>
      <charset val="238"/>
    </font>
    <font>
      <b/>
      <sz val="9"/>
      <name val="Arial CE"/>
      <family val="2"/>
      <charset val="238"/>
    </font>
    <font>
      <b/>
      <sz val="12"/>
      <color rgb="FFFF0000"/>
      <name val="Arial"/>
      <family val="2"/>
      <charset val="238"/>
    </font>
    <font>
      <sz val="10"/>
      <name val="MS Sans Serif"/>
      <charset val="238"/>
    </font>
    <font>
      <b/>
      <sz val="16"/>
      <color rgb="FFFF0000"/>
      <name val="MS Sans Serif"/>
      <family val="2"/>
    </font>
    <font>
      <b/>
      <sz val="11"/>
      <name val="Arial"/>
      <family val="2"/>
      <charset val="238"/>
    </font>
    <font>
      <i/>
      <u/>
      <sz val="8"/>
      <color rgb="FF0000FF"/>
      <name val="Arial CE"/>
      <family val="2"/>
      <charset val="238"/>
    </font>
    <font>
      <b/>
      <sz val="10"/>
      <color rgb="FFFF0000"/>
      <name val="MS Sans Serif"/>
    </font>
    <font>
      <b/>
      <sz val="12"/>
      <color rgb="FFFF0000"/>
      <name val="MS Sans Serif"/>
    </font>
    <font>
      <b/>
      <sz val="8"/>
      <color rgb="FFFF0000"/>
      <name val="MS Sans Serif"/>
    </font>
    <font>
      <sz val="8"/>
      <color rgb="FFFF0000"/>
      <name val="MS Sans Serif"/>
    </font>
    <font>
      <b/>
      <sz val="9.5"/>
      <color rgb="FFFF0000"/>
      <name val="MS Sans Serif"/>
      <charset val="238"/>
    </font>
    <font>
      <b/>
      <sz val="12"/>
      <color rgb="FFFF0000"/>
      <name val="Calibri"/>
      <family val="2"/>
      <charset val="238"/>
      <scheme val="minor"/>
    </font>
    <font>
      <b/>
      <sz val="12"/>
      <color rgb="FFFF0000"/>
      <name val="Trebuchet MS"/>
      <family val="2"/>
      <charset val="238"/>
    </font>
    <font>
      <b/>
      <sz val="14"/>
      <name val="MS Sans Serif"/>
      <family val="2"/>
    </font>
    <font>
      <sz val="14"/>
      <color theme="1"/>
      <name val="Calibri"/>
      <family val="2"/>
      <charset val="238"/>
      <scheme val="minor"/>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hair">
        <color indexed="8"/>
      </left>
      <right/>
      <top/>
      <bottom/>
      <diagonal/>
    </border>
    <border>
      <left/>
      <right style="hair">
        <color indexed="8"/>
      </right>
      <top style="hair">
        <color indexed="8"/>
      </top>
      <bottom style="hair">
        <color indexed="8"/>
      </bottom>
      <diagonal/>
    </border>
    <border>
      <left/>
      <right/>
      <top style="hair">
        <color indexed="8"/>
      </top>
      <bottom style="hair">
        <color indexed="8"/>
      </bottom>
      <diagonal/>
    </border>
  </borders>
  <cellStyleXfs count="3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applyAlignment="0">
      <alignment vertical="top" wrapText="1"/>
      <protection locked="0"/>
    </xf>
    <xf numFmtId="0" fontId="19" fillId="0" borderId="0" applyAlignment="0">
      <alignment vertical="top" wrapText="1"/>
      <protection locked="0"/>
    </xf>
    <xf numFmtId="0" fontId="19" fillId="0" borderId="0" applyAlignment="0">
      <alignment vertical="top" wrapText="1"/>
      <protection locked="0"/>
    </xf>
    <xf numFmtId="0" fontId="26" fillId="0" borderId="0" applyNumberFormat="0" applyFill="0" applyBorder="0" applyAlignment="0" applyProtection="0"/>
    <xf numFmtId="0" fontId="19" fillId="0" borderId="0" applyAlignment="0">
      <alignment vertical="top" wrapText="1"/>
      <protection locked="0"/>
    </xf>
    <xf numFmtId="0" fontId="24" fillId="0" borderId="0" applyAlignment="0">
      <alignment vertical="top" wrapText="1"/>
      <protection locked="0"/>
    </xf>
    <xf numFmtId="0" fontId="19" fillId="0" borderId="0" applyAlignment="0">
      <alignment vertical="top" wrapText="1"/>
      <protection locked="0"/>
    </xf>
    <xf numFmtId="0" fontId="2" fillId="0" borderId="0"/>
    <xf numFmtId="0" fontId="51" fillId="0" borderId="0"/>
    <xf numFmtId="0" fontId="1" fillId="0" borderId="0"/>
    <xf numFmtId="0" fontId="19" fillId="0" borderId="0" applyAlignment="0">
      <alignment vertical="top" wrapText="1"/>
      <protection locked="0"/>
    </xf>
    <xf numFmtId="0" fontId="2" fillId="0" borderId="0"/>
    <xf numFmtId="0" fontId="1" fillId="0" borderId="0"/>
    <xf numFmtId="0" fontId="24" fillId="0" borderId="0" applyAlignment="0">
      <alignment vertical="top" wrapText="1"/>
      <protection locked="0"/>
    </xf>
    <xf numFmtId="0" fontId="2" fillId="0" borderId="0"/>
    <xf numFmtId="0" fontId="56" fillId="0" borderId="0"/>
    <xf numFmtId="0" fontId="2" fillId="0" borderId="0"/>
    <xf numFmtId="0" fontId="77" fillId="0" borderId="0"/>
    <xf numFmtId="0" fontId="81" fillId="0" borderId="0" applyAlignment="0">
      <alignment vertical="top" wrapText="1"/>
      <protection locked="0"/>
    </xf>
    <xf numFmtId="0" fontId="24" fillId="0" borderId="0" applyAlignment="0">
      <alignment vertical="top" wrapText="1"/>
      <protection locked="0"/>
    </xf>
    <xf numFmtId="0" fontId="19" fillId="0" borderId="0" applyAlignment="0">
      <alignment vertical="top" wrapText="1"/>
      <protection locked="0"/>
    </xf>
    <xf numFmtId="0" fontId="2" fillId="0" borderId="0"/>
    <xf numFmtId="0" fontId="101" fillId="0" borderId="0"/>
    <xf numFmtId="0" fontId="19" fillId="0" borderId="0" applyAlignment="0">
      <alignment vertical="top" wrapText="1"/>
      <protection locked="0"/>
    </xf>
    <xf numFmtId="0" fontId="105" fillId="0" borderId="0" applyNumberFormat="0" applyFill="0" applyBorder="0" applyAlignment="0" applyProtection="0">
      <alignment vertical="top"/>
      <protection locked="0"/>
    </xf>
    <xf numFmtId="0" fontId="56" fillId="0" borderId="0"/>
    <xf numFmtId="0" fontId="50" fillId="0" borderId="0" applyNumberFormat="0" applyFill="0" applyBorder="0" applyAlignment="0" applyProtection="0">
      <alignment vertical="top" wrapText="1"/>
      <protection locked="0"/>
    </xf>
    <xf numFmtId="0" fontId="1" fillId="0" borderId="0"/>
    <xf numFmtId="0" fontId="1" fillId="0" borderId="0"/>
  </cellStyleXfs>
  <cellXfs count="1210">
    <xf numFmtId="0" fontId="0" fillId="0" borderId="0" xfId="0"/>
    <xf numFmtId="0" fontId="5" fillId="0" borderId="15" xfId="3" applyFont="1" applyFill="1" applyBorder="1" applyAlignment="1" applyProtection="1">
      <alignment horizontal="center" vertical="justify"/>
    </xf>
    <xf numFmtId="49" fontId="5" fillId="0" borderId="15" xfId="3" applyNumberFormat="1" applyFont="1" applyFill="1" applyBorder="1" applyAlignment="1" applyProtection="1">
      <alignment horizontal="left" vertical="justify"/>
    </xf>
    <xf numFmtId="0" fontId="5" fillId="0" borderId="15" xfId="3" applyFont="1" applyFill="1" applyBorder="1" applyAlignment="1" applyProtection="1">
      <alignment vertical="justify"/>
    </xf>
    <xf numFmtId="0" fontId="5" fillId="0" borderId="15" xfId="3" applyFont="1" applyFill="1" applyBorder="1" applyAlignment="1" applyProtection="1">
      <alignment horizontal="center" vertical="center" wrapText="1"/>
    </xf>
    <xf numFmtId="49" fontId="11" fillId="0" borderId="15" xfId="3" applyNumberFormat="1" applyFont="1" applyFill="1" applyBorder="1" applyAlignment="1" applyProtection="1">
      <alignment vertical="center" wrapText="1"/>
    </xf>
    <xf numFmtId="0" fontId="11" fillId="0" borderId="15" xfId="3" applyNumberFormat="1" applyFont="1" applyFill="1" applyBorder="1" applyAlignment="1" applyProtection="1">
      <alignment vertical="center" wrapText="1"/>
    </xf>
    <xf numFmtId="49" fontId="11" fillId="0" borderId="15" xfId="3" applyNumberFormat="1" applyFont="1" applyFill="1" applyBorder="1" applyAlignment="1" applyProtection="1">
      <alignment horizontal="center" vertical="center" wrapText="1" shrinkToFit="1"/>
    </xf>
    <xf numFmtId="4" fontId="11" fillId="0" borderId="15" xfId="3" applyNumberFormat="1" applyFont="1" applyFill="1" applyBorder="1" applyAlignment="1" applyProtection="1">
      <alignment vertical="center" wrapText="1"/>
    </xf>
    <xf numFmtId="0" fontId="17" fillId="0" borderId="15" xfId="3" applyNumberFormat="1" applyFont="1" applyFill="1" applyBorder="1" applyAlignment="1" applyProtection="1">
      <alignment vertical="center" wrapText="1"/>
    </xf>
    <xf numFmtId="0" fontId="11" fillId="0" borderId="15" xfId="2" applyNumberFormat="1" applyFont="1" applyFill="1" applyBorder="1" applyAlignment="1" applyProtection="1">
      <alignment vertical="center" wrapText="1"/>
    </xf>
    <xf numFmtId="49" fontId="11" fillId="0" borderId="15" xfId="2" applyNumberFormat="1" applyFont="1" applyFill="1" applyBorder="1" applyAlignment="1" applyProtection="1">
      <alignment horizontal="center" vertical="center" wrapText="1" shrinkToFit="1"/>
    </xf>
    <xf numFmtId="4" fontId="11" fillId="0" borderId="15" xfId="2" applyNumberFormat="1" applyFont="1" applyFill="1" applyBorder="1" applyAlignment="1" applyProtection="1">
      <alignment vertical="center" wrapText="1"/>
    </xf>
    <xf numFmtId="4" fontId="11" fillId="0" borderId="32" xfId="2" applyNumberFormat="1" applyFont="1" applyFill="1" applyBorder="1" applyAlignment="1" applyProtection="1">
      <alignment vertical="center" wrapText="1"/>
    </xf>
    <xf numFmtId="0" fontId="18" fillId="0" borderId="15" xfId="3" applyFont="1" applyFill="1" applyBorder="1" applyAlignment="1" applyProtection="1">
      <alignment horizontal="center" vertical="center" wrapText="1"/>
    </xf>
    <xf numFmtId="0" fontId="1" fillId="7" borderId="15" xfId="3" applyFont="1" applyFill="1" applyBorder="1" applyAlignment="1" applyProtection="1">
      <alignment horizontal="center" vertical="justify"/>
    </xf>
    <xf numFmtId="49" fontId="15" fillId="7" borderId="15" xfId="3" applyNumberFormat="1" applyFont="1" applyFill="1" applyBorder="1" applyAlignment="1" applyProtection="1">
      <alignment horizontal="left" vertical="center"/>
    </xf>
    <xf numFmtId="0" fontId="15" fillId="7" borderId="1" xfId="3" applyFont="1" applyFill="1" applyBorder="1" applyAlignment="1" applyProtection="1">
      <alignment vertical="center"/>
    </xf>
    <xf numFmtId="0" fontId="1" fillId="7" borderId="2" xfId="3" applyFont="1" applyFill="1" applyBorder="1" applyAlignment="1" applyProtection="1">
      <alignment horizontal="center" vertical="center"/>
    </xf>
    <xf numFmtId="4" fontId="1" fillId="7" borderId="2" xfId="3" applyNumberFormat="1" applyFont="1" applyFill="1" applyBorder="1" applyAlignment="1" applyProtection="1">
      <alignment horizontal="right" vertical="center"/>
    </xf>
    <xf numFmtId="4" fontId="1" fillId="7" borderId="3" xfId="3" applyNumberFormat="1" applyFont="1" applyFill="1" applyBorder="1" applyAlignment="1" applyProtection="1">
      <alignment horizontal="right" vertical="center"/>
    </xf>
    <xf numFmtId="4" fontId="5" fillId="7" borderId="15" xfId="3" applyNumberFormat="1" applyFont="1" applyFill="1" applyBorder="1" applyAlignment="1" applyProtection="1">
      <alignment horizontal="right" vertical="center"/>
    </xf>
    <xf numFmtId="0" fontId="20" fillId="0" borderId="0" xfId="7" applyFont="1" applyFill="1" applyAlignment="1" applyProtection="1">
      <alignment horizontal="left"/>
    </xf>
    <xf numFmtId="0" fontId="11" fillId="0" borderId="0" xfId="7" applyFont="1" applyFill="1" applyAlignment="1" applyProtection="1">
      <alignment horizontal="left"/>
    </xf>
    <xf numFmtId="0" fontId="22" fillId="0" borderId="33" xfId="7" applyFont="1" applyFill="1" applyBorder="1" applyAlignment="1" applyProtection="1">
      <alignment horizontal="center" vertical="center" wrapText="1"/>
    </xf>
    <xf numFmtId="0" fontId="20" fillId="0" borderId="0" xfId="11" applyFont="1" applyFill="1" applyAlignment="1" applyProtection="1">
      <alignment horizontal="left"/>
    </xf>
    <xf numFmtId="0" fontId="19" fillId="0" borderId="0" xfId="11" applyFill="1" applyAlignment="1" applyProtection="1">
      <alignment horizontal="left" vertical="top"/>
    </xf>
    <xf numFmtId="0" fontId="21" fillId="0" borderId="0" xfId="8" applyFont="1" applyFill="1" applyAlignment="1" applyProtection="1">
      <alignment horizontal="left"/>
    </xf>
    <xf numFmtId="0" fontId="11" fillId="0" borderId="0" xfId="11" applyFont="1" applyFill="1" applyAlignment="1" applyProtection="1">
      <alignment horizontal="left"/>
    </xf>
    <xf numFmtId="0" fontId="19" fillId="0" borderId="0" xfId="11" applyAlignment="1" applyProtection="1">
      <alignment horizontal="left" vertical="top"/>
    </xf>
    <xf numFmtId="0" fontId="22" fillId="0" borderId="33" xfId="11" applyFont="1" applyFill="1" applyBorder="1" applyAlignment="1" applyProtection="1">
      <alignment horizontal="center" vertical="center" wrapText="1"/>
    </xf>
    <xf numFmtId="37" fontId="21" fillId="0" borderId="0" xfId="11" applyNumberFormat="1" applyFont="1" applyFill="1" applyAlignment="1" applyProtection="1">
      <alignment horizontal="right"/>
    </xf>
    <xf numFmtId="0" fontId="21" fillId="0" borderId="0" xfId="11" applyFont="1" applyFill="1" applyAlignment="1" applyProtection="1">
      <alignment horizontal="left" wrapText="1"/>
    </xf>
    <xf numFmtId="165" fontId="21" fillId="0" borderId="0" xfId="11" applyNumberFormat="1" applyFont="1" applyFill="1" applyAlignment="1" applyProtection="1">
      <alignment horizontal="right"/>
    </xf>
    <xf numFmtId="0" fontId="11" fillId="0" borderId="34" xfId="5" applyFont="1" applyFill="1" applyBorder="1" applyAlignment="1" applyProtection="1">
      <alignment horizontal="left" wrapText="1"/>
    </xf>
    <xf numFmtId="2" fontId="11" fillId="0" borderId="34" xfId="11" applyNumberFormat="1" applyFont="1" applyFill="1" applyBorder="1" applyAlignment="1" applyProtection="1">
      <alignment horizontal="right"/>
    </xf>
    <xf numFmtId="0" fontId="17" fillId="0" borderId="34" xfId="5" applyFont="1" applyFill="1" applyBorder="1" applyAlignment="1" applyProtection="1">
      <alignment horizontal="left" wrapText="1"/>
    </xf>
    <xf numFmtId="0" fontId="46" fillId="0" borderId="34" xfId="5" applyFont="1" applyFill="1" applyBorder="1" applyAlignment="1" applyProtection="1">
      <alignment horizontal="left" wrapText="1"/>
    </xf>
    <xf numFmtId="2" fontId="46" fillId="0" borderId="34" xfId="11" applyNumberFormat="1" applyFont="1" applyFill="1" applyBorder="1" applyAlignment="1" applyProtection="1">
      <alignment horizontal="right"/>
    </xf>
    <xf numFmtId="0" fontId="48" fillId="0" borderId="34" xfId="5" applyFont="1" applyFill="1" applyBorder="1" applyAlignment="1" applyProtection="1">
      <alignment horizontal="left" wrapText="1"/>
    </xf>
    <xf numFmtId="0" fontId="21" fillId="5" borderId="34" xfId="11" applyFont="1" applyFill="1" applyBorder="1" applyAlignment="1" applyProtection="1">
      <alignment horizontal="left" wrapText="1"/>
    </xf>
    <xf numFmtId="2" fontId="21" fillId="5" borderId="34" xfId="11" applyNumberFormat="1" applyFont="1" applyFill="1" applyBorder="1" applyAlignment="1" applyProtection="1">
      <alignment horizontal="right"/>
    </xf>
    <xf numFmtId="37" fontId="11" fillId="0" borderId="34" xfId="11" applyNumberFormat="1" applyFont="1" applyFill="1" applyBorder="1" applyAlignment="1" applyProtection="1">
      <alignment horizontal="right"/>
    </xf>
    <xf numFmtId="0" fontId="11" fillId="0" borderId="34" xfId="11" applyFont="1" applyFill="1" applyBorder="1" applyAlignment="1" applyProtection="1">
      <alignment horizontal="left" wrapText="1"/>
    </xf>
    <xf numFmtId="39" fontId="11" fillId="0" borderId="34" xfId="11" applyNumberFormat="1" applyFont="1" applyFill="1" applyBorder="1" applyAlignment="1" applyProtection="1">
      <alignment horizontal="center"/>
    </xf>
    <xf numFmtId="49" fontId="11" fillId="0" borderId="34" xfId="11" applyNumberFormat="1" applyFont="1" applyFill="1" applyBorder="1" applyAlignment="1" applyProtection="1">
      <alignment horizontal="right" wrapText="1"/>
    </xf>
    <xf numFmtId="0" fontId="17" fillId="0" borderId="34" xfId="11" applyFont="1" applyFill="1" applyBorder="1" applyAlignment="1" applyProtection="1">
      <alignment horizontal="left" wrapText="1"/>
    </xf>
    <xf numFmtId="2" fontId="17" fillId="0" borderId="34" xfId="11" applyNumberFormat="1" applyFont="1" applyFill="1" applyBorder="1" applyAlignment="1" applyProtection="1">
      <alignment horizontal="right"/>
    </xf>
    <xf numFmtId="37" fontId="29" fillId="0" borderId="0" xfId="11" applyNumberFormat="1" applyFont="1" applyFill="1" applyAlignment="1" applyProtection="1">
      <alignment horizontal="right"/>
    </xf>
    <xf numFmtId="0" fontId="29" fillId="0" borderId="0" xfId="11" applyFont="1" applyFill="1" applyAlignment="1" applyProtection="1">
      <alignment horizontal="left" wrapText="1"/>
    </xf>
    <xf numFmtId="165" fontId="29" fillId="0" borderId="0" xfId="11" applyNumberFormat="1" applyFont="1" applyFill="1" applyAlignment="1" applyProtection="1">
      <alignment horizontal="right"/>
    </xf>
    <xf numFmtId="39" fontId="29" fillId="0" borderId="0" xfId="11" applyNumberFormat="1" applyFont="1" applyFill="1" applyAlignment="1" applyProtection="1">
      <alignment horizontal="right"/>
    </xf>
    <xf numFmtId="37" fontId="19" fillId="0" borderId="0" xfId="11" applyNumberFormat="1" applyFill="1" applyAlignment="1" applyProtection="1">
      <alignment horizontal="right" vertical="top"/>
    </xf>
    <xf numFmtId="0" fontId="19" fillId="0" borderId="0" xfId="11" applyFill="1" applyAlignment="1" applyProtection="1">
      <alignment horizontal="left" vertical="top" wrapText="1"/>
    </xf>
    <xf numFmtId="165" fontId="19" fillId="0" borderId="0" xfId="11" applyNumberFormat="1" applyFill="1" applyAlignment="1" applyProtection="1">
      <alignment horizontal="right" vertical="top"/>
    </xf>
    <xf numFmtId="39" fontId="19" fillId="0" borderId="0" xfId="11" applyNumberFormat="1" applyFill="1" applyAlignment="1" applyProtection="1">
      <alignment horizontal="right" vertical="top"/>
    </xf>
    <xf numFmtId="0" fontId="19" fillId="0" borderId="0" xfId="11" applyFont="1" applyFill="1" applyAlignment="1" applyProtection="1">
      <alignment horizontal="left" vertical="top"/>
    </xf>
    <xf numFmtId="0" fontId="21" fillId="0" borderId="36" xfId="11" applyFont="1" applyFill="1" applyBorder="1" applyAlignment="1" applyProtection="1">
      <alignment horizontal="left"/>
    </xf>
    <xf numFmtId="0" fontId="25" fillId="0" borderId="37" xfId="11" applyFont="1" applyFill="1" applyBorder="1" applyAlignment="1" applyProtection="1">
      <alignment horizontal="center"/>
    </xf>
    <xf numFmtId="165" fontId="25" fillId="0" borderId="37" xfId="11" applyNumberFormat="1" applyFont="1" applyFill="1" applyBorder="1" applyAlignment="1" applyProtection="1">
      <alignment horizontal="right"/>
    </xf>
    <xf numFmtId="39" fontId="25" fillId="0" borderId="37" xfId="11" applyNumberFormat="1" applyFont="1" applyFill="1" applyBorder="1" applyAlignment="1" applyProtection="1">
      <alignment horizontal="right"/>
    </xf>
    <xf numFmtId="39" fontId="21" fillId="0" borderId="33" xfId="11" applyNumberFormat="1" applyFont="1" applyFill="1" applyBorder="1" applyAlignment="1" applyProtection="1">
      <alignment horizontal="right"/>
    </xf>
    <xf numFmtId="37" fontId="21" fillId="0" borderId="0" xfId="11" applyNumberFormat="1" applyFont="1" applyFill="1" applyBorder="1" applyAlignment="1" applyProtection="1">
      <alignment horizontal="center"/>
    </xf>
    <xf numFmtId="0" fontId="27" fillId="0" borderId="0" xfId="11" applyFont="1" applyFill="1" applyBorder="1" applyAlignment="1" applyProtection="1">
      <alignment horizontal="center"/>
    </xf>
    <xf numFmtId="0" fontId="21" fillId="0" borderId="0" xfId="11" applyFont="1" applyFill="1" applyBorder="1" applyAlignment="1" applyProtection="1">
      <alignment horizontal="left"/>
    </xf>
    <xf numFmtId="0" fontId="25" fillId="0" borderId="0" xfId="11" applyFont="1" applyFill="1" applyBorder="1" applyAlignment="1" applyProtection="1">
      <alignment horizontal="center"/>
    </xf>
    <xf numFmtId="165" fontId="25" fillId="0" borderId="0" xfId="11" applyNumberFormat="1" applyFont="1" applyFill="1" applyBorder="1" applyAlignment="1" applyProtection="1">
      <alignment horizontal="right"/>
    </xf>
    <xf numFmtId="39" fontId="25" fillId="0" borderId="0" xfId="11" applyNumberFormat="1" applyFont="1" applyFill="1" applyBorder="1" applyAlignment="1" applyProtection="1">
      <alignment horizontal="right"/>
    </xf>
    <xf numFmtId="39" fontId="21" fillId="0" borderId="0" xfId="11" applyNumberFormat="1" applyFont="1" applyFill="1" applyBorder="1" applyAlignment="1" applyProtection="1">
      <alignment horizontal="right"/>
    </xf>
    <xf numFmtId="0" fontId="10" fillId="0" borderId="0" xfId="6" applyFont="1" applyFill="1" applyAlignment="1" applyProtection="1">
      <alignment vertical="center"/>
    </xf>
    <xf numFmtId="0" fontId="10" fillId="0" borderId="0" xfId="6" applyFont="1" applyFill="1" applyAlignment="1" applyProtection="1">
      <alignment horizontal="center" vertical="center" wrapText="1"/>
    </xf>
    <xf numFmtId="0" fontId="10" fillId="0" borderId="0" xfId="6" applyFont="1" applyFill="1" applyBorder="1" applyAlignment="1" applyProtection="1">
      <alignment horizontal="center" vertical="center" wrapText="1"/>
    </xf>
    <xf numFmtId="37" fontId="11" fillId="0" borderId="34" xfId="17" applyNumberFormat="1" applyFont="1" applyFill="1" applyBorder="1" applyAlignment="1" applyProtection="1">
      <alignment horizontal="right"/>
    </xf>
    <xf numFmtId="0" fontId="11" fillId="0" borderId="34" xfId="17" applyFont="1" applyFill="1" applyBorder="1" applyAlignment="1" applyProtection="1">
      <alignment horizontal="left" wrapText="1"/>
    </xf>
    <xf numFmtId="39" fontId="11" fillId="0" borderId="34" xfId="17" applyNumberFormat="1" applyFont="1" applyFill="1" applyBorder="1" applyAlignment="1" applyProtection="1">
      <alignment horizontal="right"/>
    </xf>
    <xf numFmtId="2" fontId="17" fillId="0" borderId="34" xfId="17" applyNumberFormat="1" applyFont="1" applyFill="1" applyBorder="1" applyAlignment="1" applyProtection="1"/>
    <xf numFmtId="2" fontId="11" fillId="0" borderId="34" xfId="17" applyNumberFormat="1" applyFont="1" applyFill="1" applyBorder="1" applyAlignment="1" applyProtection="1"/>
    <xf numFmtId="0" fontId="56" fillId="0" borderId="0" xfId="11" applyFont="1" applyAlignment="1" applyProtection="1">
      <alignment horizontal="left" vertical="top"/>
    </xf>
    <xf numFmtId="49" fontId="11" fillId="0" borderId="34" xfId="11" applyNumberFormat="1" applyFont="1" applyFill="1" applyBorder="1" applyAlignment="1" applyProtection="1">
      <alignment horizontal="left" wrapText="1"/>
    </xf>
    <xf numFmtId="4" fontId="11" fillId="0" borderId="34" xfId="5" applyNumberFormat="1" applyFont="1" applyFill="1" applyBorder="1" applyAlignment="1" applyProtection="1">
      <alignment horizontal="right"/>
      <protection locked="0"/>
    </xf>
    <xf numFmtId="4" fontId="46" fillId="0" borderId="34" xfId="5" applyNumberFormat="1" applyFont="1" applyFill="1" applyBorder="1" applyAlignment="1" applyProtection="1">
      <alignment horizontal="right"/>
      <protection locked="0"/>
    </xf>
    <xf numFmtId="4" fontId="17" fillId="6" borderId="34" xfId="13" applyNumberFormat="1" applyFont="1" applyFill="1" applyBorder="1" applyAlignment="1" applyProtection="1">
      <alignment horizontal="right"/>
      <protection locked="0"/>
    </xf>
    <xf numFmtId="4" fontId="21" fillId="0" borderId="0" xfId="11" applyNumberFormat="1" applyFont="1" applyFill="1" applyAlignment="1" applyProtection="1">
      <alignment horizontal="right"/>
    </xf>
    <xf numFmtId="4" fontId="21" fillId="5" borderId="34" xfId="11" applyNumberFormat="1" applyFont="1" applyFill="1" applyBorder="1" applyAlignment="1" applyProtection="1">
      <alignment horizontal="right"/>
    </xf>
    <xf numFmtId="4" fontId="11" fillId="0" borderId="34" xfId="11" applyNumberFormat="1" applyFont="1" applyFill="1" applyBorder="1" applyAlignment="1" applyProtection="1">
      <alignment horizontal="right"/>
    </xf>
    <xf numFmtId="0" fontId="11" fillId="0" borderId="34" xfId="24" applyFont="1" applyFill="1" applyBorder="1" applyAlignment="1" applyProtection="1">
      <alignment horizontal="left" wrapText="1"/>
    </xf>
    <xf numFmtId="39" fontId="11" fillId="0" borderId="34" xfId="24" applyNumberFormat="1" applyFont="1" applyFill="1" applyBorder="1" applyAlignment="1" applyProtection="1">
      <alignment horizontal="right"/>
      <protection locked="0"/>
    </xf>
    <xf numFmtId="0" fontId="46" fillId="0" borderId="34" xfId="24" applyFont="1" applyFill="1" applyBorder="1" applyAlignment="1" applyProtection="1">
      <alignment horizontal="left" wrapText="1"/>
    </xf>
    <xf numFmtId="4" fontId="11" fillId="0" borderId="34" xfId="24" applyNumberFormat="1" applyFont="1" applyFill="1" applyBorder="1" applyAlignment="1" applyProtection="1">
      <alignment horizontal="right"/>
      <protection locked="0"/>
    </xf>
    <xf numFmtId="4" fontId="46" fillId="0" borderId="34" xfId="24" applyNumberFormat="1" applyFont="1" applyFill="1" applyBorder="1" applyAlignment="1" applyProtection="1">
      <alignment horizontal="right"/>
      <protection locked="0"/>
    </xf>
    <xf numFmtId="4" fontId="11" fillId="0" borderId="34" xfId="0" applyNumberFormat="1" applyFont="1" applyFill="1" applyBorder="1" applyAlignment="1" applyProtection="1">
      <alignment horizontal="right"/>
      <protection locked="0"/>
    </xf>
    <xf numFmtId="4" fontId="46" fillId="0" borderId="34" xfId="0" applyNumberFormat="1" applyFont="1" applyFill="1" applyBorder="1" applyAlignment="1" applyProtection="1">
      <alignment horizontal="right"/>
      <protection locked="0"/>
    </xf>
    <xf numFmtId="37" fontId="11" fillId="0" borderId="34" xfId="27" applyNumberFormat="1" applyFont="1" applyFill="1" applyBorder="1" applyAlignment="1" applyProtection="1">
      <alignment horizontal="right"/>
    </xf>
    <xf numFmtId="49" fontId="11" fillId="0" borderId="34" xfId="27" applyNumberFormat="1" applyFont="1" applyFill="1" applyBorder="1" applyAlignment="1" applyProtection="1">
      <alignment horizontal="left" wrapText="1"/>
    </xf>
    <xf numFmtId="0" fontId="11" fillId="0" borderId="34" xfId="27" applyFont="1" applyFill="1" applyBorder="1" applyAlignment="1" applyProtection="1">
      <alignment horizontal="left" wrapText="1"/>
    </xf>
    <xf numFmtId="0" fontId="11" fillId="0" borderId="34" xfId="27" applyFont="1" applyFill="1" applyBorder="1" applyAlignment="1" applyProtection="1">
      <alignment wrapText="1"/>
    </xf>
    <xf numFmtId="2" fontId="11" fillId="0" borderId="34" xfId="27" applyNumberFormat="1" applyFont="1" applyFill="1" applyBorder="1" applyAlignment="1" applyProtection="1">
      <alignment horizontal="right"/>
    </xf>
    <xf numFmtId="4" fontId="11" fillId="0" borderId="34" xfId="27" applyNumberFormat="1" applyFont="1" applyFill="1" applyBorder="1" applyAlignment="1" applyProtection="1">
      <alignment horizontal="right"/>
    </xf>
    <xf numFmtId="39" fontId="11" fillId="0" borderId="34" xfId="27" applyNumberFormat="1" applyFont="1" applyFill="1" applyBorder="1" applyAlignment="1" applyProtection="1">
      <alignment horizontal="center"/>
    </xf>
    <xf numFmtId="0" fontId="34" fillId="0" borderId="34" xfId="27" applyFont="1" applyFill="1" applyBorder="1" applyAlignment="1" applyProtection="1">
      <alignment horizontal="left" wrapText="1"/>
    </xf>
    <xf numFmtId="2" fontId="17" fillId="0" borderId="34" xfId="27" applyNumberFormat="1" applyFont="1" applyFill="1" applyBorder="1" applyAlignment="1" applyProtection="1">
      <alignment horizontal="right"/>
    </xf>
    <xf numFmtId="0" fontId="17" fillId="0" borderId="34" xfId="27" applyFont="1" applyFill="1" applyBorder="1" applyAlignment="1" applyProtection="1">
      <alignment horizontal="left" wrapText="1"/>
    </xf>
    <xf numFmtId="0" fontId="19" fillId="0" borderId="34" xfId="27" applyFill="1" applyBorder="1" applyAlignment="1" applyProtection="1">
      <alignment horizontal="left" vertical="top"/>
    </xf>
    <xf numFmtId="37" fontId="46" fillId="0" borderId="34" xfId="27" applyNumberFormat="1" applyFont="1" applyFill="1" applyBorder="1" applyAlignment="1" applyProtection="1">
      <alignment horizontal="right"/>
    </xf>
    <xf numFmtId="49" fontId="46" fillId="0" borderId="34" xfId="27" applyNumberFormat="1" applyFont="1" applyFill="1" applyBorder="1" applyAlignment="1" applyProtection="1">
      <alignment horizontal="left" wrapText="1"/>
    </xf>
    <xf numFmtId="0" fontId="46" fillId="0" borderId="34" xfId="27" applyFont="1" applyFill="1" applyBorder="1" applyAlignment="1" applyProtection="1">
      <alignment horizontal="left" wrapText="1"/>
    </xf>
    <xf numFmtId="0" fontId="46" fillId="0" borderId="34" xfId="27" applyFont="1" applyFill="1" applyBorder="1" applyAlignment="1" applyProtection="1">
      <alignment wrapText="1"/>
    </xf>
    <xf numFmtId="2" fontId="46" fillId="0" borderId="34" xfId="27" applyNumberFormat="1" applyFont="1" applyFill="1" applyBorder="1" applyAlignment="1" applyProtection="1">
      <alignment horizontal="right"/>
    </xf>
    <xf numFmtId="4" fontId="46" fillId="0" borderId="34" xfId="27" applyNumberFormat="1" applyFont="1" applyFill="1" applyBorder="1" applyAlignment="1" applyProtection="1">
      <alignment horizontal="right"/>
    </xf>
    <xf numFmtId="37" fontId="21" fillId="0" borderId="34" xfId="27" applyNumberFormat="1" applyFont="1" applyFill="1" applyBorder="1" applyAlignment="1" applyProtection="1">
      <alignment horizontal="right"/>
    </xf>
    <xf numFmtId="0" fontId="21" fillId="0" borderId="34" xfId="27" applyFont="1" applyFill="1" applyBorder="1" applyAlignment="1" applyProtection="1">
      <alignment horizontal="left" wrapText="1"/>
    </xf>
    <xf numFmtId="0" fontId="82" fillId="0" borderId="34" xfId="27" applyFont="1" applyFill="1" applyBorder="1" applyAlignment="1" applyProtection="1">
      <alignment horizontal="left" wrapText="1"/>
    </xf>
    <xf numFmtId="0" fontId="70" fillId="0" borderId="34" xfId="27" applyFont="1" applyFill="1" applyBorder="1" applyAlignment="1" applyProtection="1">
      <alignment horizontal="left" wrapText="1"/>
    </xf>
    <xf numFmtId="2" fontId="48" fillId="0" borderId="34" xfId="27" applyNumberFormat="1" applyFont="1" applyFill="1" applyBorder="1" applyAlignment="1" applyProtection="1">
      <alignment horizontal="right"/>
    </xf>
    <xf numFmtId="4" fontId="21" fillId="0" borderId="34" xfId="27" applyNumberFormat="1" applyFont="1" applyFill="1" applyBorder="1" applyAlignment="1" applyProtection="1">
      <alignment horizontal="right"/>
    </xf>
    <xf numFmtId="39" fontId="11" fillId="0" borderId="34" xfId="0" applyNumberFormat="1" applyFont="1" applyFill="1" applyBorder="1" applyAlignment="1" applyProtection="1">
      <alignment horizontal="right"/>
      <protection locked="0"/>
    </xf>
    <xf numFmtId="4" fontId="21" fillId="0" borderId="34" xfId="11" applyNumberFormat="1" applyFont="1" applyFill="1" applyBorder="1" applyAlignment="1" applyProtection="1">
      <alignment horizontal="right"/>
    </xf>
    <xf numFmtId="0" fontId="17" fillId="0" borderId="34" xfId="24" applyFont="1" applyFill="1" applyBorder="1" applyAlignment="1" applyProtection="1">
      <alignment horizontal="left" wrapText="1"/>
    </xf>
    <xf numFmtId="0" fontId="48" fillId="0" borderId="34" xfId="24" applyFont="1" applyFill="1" applyBorder="1" applyAlignment="1" applyProtection="1">
      <alignment horizontal="left" wrapText="1"/>
    </xf>
    <xf numFmtId="0" fontId="59" fillId="0" borderId="0" xfId="7" applyFont="1" applyFill="1" applyAlignment="1" applyProtection="1">
      <alignment horizontal="left"/>
    </xf>
    <xf numFmtId="0" fontId="59" fillId="0" borderId="0" xfId="7" applyFont="1" applyAlignment="1" applyProtection="1">
      <alignment horizontal="left"/>
    </xf>
    <xf numFmtId="0" fontId="20" fillId="0" borderId="0" xfId="7" applyFont="1" applyAlignment="1" applyProtection="1">
      <alignment horizontal="left"/>
    </xf>
    <xf numFmtId="0" fontId="11" fillId="0" borderId="0" xfId="7" applyFont="1" applyAlignment="1" applyProtection="1">
      <alignment horizontal="left"/>
    </xf>
    <xf numFmtId="0" fontId="21" fillId="0" borderId="0" xfId="8" applyFont="1" applyAlignment="1" applyProtection="1">
      <alignment horizontal="left"/>
    </xf>
    <xf numFmtId="0" fontId="22" fillId="0" borderId="33" xfId="7" applyFont="1" applyBorder="1" applyAlignment="1" applyProtection="1">
      <alignment horizontal="center" vertical="center" wrapText="1"/>
    </xf>
    <xf numFmtId="4" fontId="11" fillId="0" borderId="34" xfId="35" applyNumberFormat="1" applyFont="1" applyFill="1" applyBorder="1" applyAlignment="1" applyProtection="1">
      <alignment horizontal="right"/>
      <protection locked="0"/>
    </xf>
    <xf numFmtId="39" fontId="110" fillId="0" borderId="34" xfId="11" applyNumberFormat="1" applyFont="1" applyFill="1" applyBorder="1" applyAlignment="1" applyProtection="1">
      <alignment horizontal="right" vertical="center"/>
    </xf>
    <xf numFmtId="0" fontId="19" fillId="0" borderId="0" xfId="8" applyAlignment="1" applyProtection="1">
      <alignment vertical="top"/>
    </xf>
    <xf numFmtId="0" fontId="11" fillId="0" borderId="0" xfId="11" applyFont="1" applyAlignment="1" applyProtection="1">
      <alignment horizontal="left"/>
    </xf>
    <xf numFmtId="0" fontId="20" fillId="0" borderId="0" xfId="11" applyFont="1" applyAlignment="1" applyProtection="1">
      <alignment horizontal="left"/>
    </xf>
    <xf numFmtId="37" fontId="21" fillId="0" borderId="34" xfId="11" applyNumberFormat="1" applyFont="1" applyFill="1" applyBorder="1" applyAlignment="1" applyProtection="1">
      <alignment horizontal="right"/>
    </xf>
    <xf numFmtId="0" fontId="21" fillId="0" borderId="34" xfId="11" applyFont="1" applyFill="1" applyBorder="1" applyAlignment="1" applyProtection="1">
      <alignment horizontal="left" wrapText="1"/>
    </xf>
    <xf numFmtId="4" fontId="17" fillId="6" borderId="34" xfId="5" applyNumberFormat="1" applyFont="1" applyFill="1" applyBorder="1" applyAlignment="1" applyProtection="1">
      <alignment horizontal="right"/>
      <protection locked="0"/>
    </xf>
    <xf numFmtId="4" fontId="34" fillId="6" borderId="34" xfId="5" applyNumberFormat="1" applyFont="1" applyFill="1" applyBorder="1" applyAlignment="1" applyProtection="1">
      <alignment horizontal="right"/>
      <protection locked="0"/>
    </xf>
    <xf numFmtId="2" fontId="34" fillId="6" borderId="34" xfId="0" applyNumberFormat="1" applyFont="1" applyFill="1" applyBorder="1" applyAlignment="1" applyProtection="1">
      <alignment horizontal="right"/>
      <protection locked="0"/>
    </xf>
    <xf numFmtId="4" fontId="34" fillId="6" borderId="34" xfId="35" applyNumberFormat="1" applyFont="1" applyFill="1" applyBorder="1" applyAlignment="1" applyProtection="1">
      <alignment horizontal="right"/>
      <protection locked="0"/>
    </xf>
    <xf numFmtId="4" fontId="82" fillId="6" borderId="34" xfId="35" applyNumberFormat="1" applyFont="1" applyFill="1" applyBorder="1" applyAlignment="1" applyProtection="1">
      <alignment horizontal="right"/>
      <protection locked="0"/>
    </xf>
    <xf numFmtId="39" fontId="46" fillId="0" borderId="34" xfId="27" applyNumberFormat="1" applyFont="1" applyFill="1" applyBorder="1" applyAlignment="1" applyProtection="1">
      <alignment horizontal="center"/>
    </xf>
    <xf numFmtId="0" fontId="19" fillId="0" borderId="34" xfId="11" applyFill="1" applyBorder="1" applyAlignment="1" applyProtection="1">
      <alignment horizontal="left" vertical="top"/>
    </xf>
    <xf numFmtId="0" fontId="11" fillId="0" borderId="15" xfId="3" applyFont="1" applyFill="1" applyBorder="1" applyAlignment="1" applyProtection="1">
      <alignment horizontal="center" vertical="center" wrapText="1"/>
    </xf>
    <xf numFmtId="0" fontId="11" fillId="0" borderId="15" xfId="3" applyFont="1" applyFill="1" applyBorder="1" applyAlignment="1" applyProtection="1">
      <alignment horizontal="center" vertical="center" wrapText="1"/>
    </xf>
    <xf numFmtId="0" fontId="11" fillId="0" borderId="15" xfId="4" applyFont="1" applyBorder="1" applyAlignment="1" applyProtection="1">
      <alignment vertical="center" wrapText="1"/>
    </xf>
    <xf numFmtId="0" fontId="21" fillId="0" borderId="0" xfId="8" applyFont="1" applyFill="1" applyAlignment="1" applyProtection="1">
      <alignment horizontal="left" wrapText="1"/>
    </xf>
    <xf numFmtId="0" fontId="10" fillId="0" borderId="0" xfId="6" applyFont="1" applyFill="1" applyAlignment="1" applyProtection="1">
      <alignment vertical="center" wrapText="1"/>
    </xf>
    <xf numFmtId="0" fontId="19" fillId="0" borderId="0" xfId="11" applyFont="1" applyFill="1" applyAlignment="1" applyProtection="1">
      <alignment vertical="center" wrapText="1"/>
    </xf>
    <xf numFmtId="0" fontId="19" fillId="0" borderId="0" xfId="11" applyFill="1" applyAlignment="1" applyProtection="1">
      <alignment horizontal="left" wrapText="1"/>
    </xf>
    <xf numFmtId="37" fontId="21" fillId="0" borderId="36" xfId="11" applyNumberFormat="1" applyFont="1" applyFill="1" applyBorder="1" applyAlignment="1" applyProtection="1">
      <alignment horizontal="center"/>
    </xf>
    <xf numFmtId="0" fontId="27" fillId="0" borderId="37" xfId="11" applyFont="1" applyFill="1" applyBorder="1" applyAlignment="1" applyProtection="1">
      <alignment horizontal="center"/>
    </xf>
    <xf numFmtId="0" fontId="27" fillId="0" borderId="38" xfId="11" applyFont="1" applyFill="1" applyBorder="1" applyAlignment="1" applyProtection="1">
      <alignment horizontal="center"/>
    </xf>
    <xf numFmtId="0" fontId="19" fillId="0" borderId="0" xfId="11" applyFill="1" applyAlignment="1" applyProtection="1">
      <alignment vertical="center" wrapText="1"/>
    </xf>
    <xf numFmtId="0" fontId="19" fillId="0" borderId="0" xfId="8" applyFill="1" applyAlignment="1" applyProtection="1">
      <alignment vertical="center" wrapText="1"/>
    </xf>
    <xf numFmtId="0" fontId="2" fillId="0" borderId="0" xfId="1" applyFont="1" applyProtection="1"/>
    <xf numFmtId="0" fontId="2" fillId="0" borderId="0" xfId="1" applyFont="1" applyAlignment="1" applyProtection="1"/>
    <xf numFmtId="0" fontId="3" fillId="0" borderId="0" xfId="1" applyFont="1" applyAlignment="1" applyProtection="1">
      <alignment horizontal="center"/>
    </xf>
    <xf numFmtId="0" fontId="1" fillId="0" borderId="0" xfId="1" applyAlignment="1" applyProtection="1">
      <alignment horizontal="center"/>
    </xf>
    <xf numFmtId="0" fontId="2" fillId="0" borderId="0" xfId="1" applyFont="1" applyFill="1" applyAlignment="1" applyProtection="1">
      <alignment horizontal="center"/>
    </xf>
    <xf numFmtId="0" fontId="1" fillId="0" borderId="0" xfId="1" applyFill="1" applyAlignment="1" applyProtection="1">
      <alignment horizontal="center"/>
    </xf>
    <xf numFmtId="0" fontId="16" fillId="0" borderId="0" xfId="1" applyFont="1" applyProtection="1"/>
    <xf numFmtId="0" fontId="114" fillId="0" borderId="0" xfId="1" applyFont="1" applyAlignment="1" applyProtection="1">
      <alignment vertical="center"/>
    </xf>
    <xf numFmtId="0" fontId="4" fillId="0" borderId="0" xfId="1" applyFont="1" applyAlignment="1" applyProtection="1">
      <alignment horizontal="left"/>
    </xf>
    <xf numFmtId="0" fontId="4" fillId="0" borderId="0" xfId="1" applyFont="1" applyFill="1" applyAlignment="1" applyProtection="1">
      <alignment horizontal="left" wrapText="1"/>
    </xf>
    <xf numFmtId="0" fontId="5" fillId="0" borderId="0" xfId="1" applyFont="1" applyFill="1" applyAlignment="1" applyProtection="1">
      <alignment horizontal="left" wrapText="1"/>
    </xf>
    <xf numFmtId="0" fontId="1" fillId="0" borderId="0" xfId="1" applyFill="1" applyAlignment="1" applyProtection="1">
      <alignment horizontal="left" wrapText="1"/>
    </xf>
    <xf numFmtId="0" fontId="6" fillId="0" borderId="0" xfId="1" applyFont="1" applyAlignment="1" applyProtection="1"/>
    <xf numFmtId="0" fontId="74" fillId="0" borderId="0" xfId="1" applyFont="1" applyAlignment="1" applyProtection="1">
      <alignment vertical="center"/>
    </xf>
    <xf numFmtId="0" fontId="16" fillId="0" borderId="0" xfId="1" applyFont="1" applyAlignment="1" applyProtection="1">
      <alignment vertical="center"/>
    </xf>
    <xf numFmtId="14" fontId="7" fillId="0" borderId="0" xfId="1" applyNumberFormat="1" applyFont="1" applyAlignment="1" applyProtection="1">
      <alignment horizontal="left"/>
    </xf>
    <xf numFmtId="0" fontId="4" fillId="0" borderId="0" xfId="1" applyFont="1" applyAlignment="1" applyProtection="1">
      <alignment horizontal="left" vertical="center"/>
    </xf>
    <xf numFmtId="0" fontId="8" fillId="0" borderId="0" xfId="1" applyFont="1" applyAlignment="1" applyProtection="1">
      <alignment horizontal="left"/>
    </xf>
    <xf numFmtId="0" fontId="4" fillId="0" borderId="0" xfId="1" applyFont="1" applyAlignment="1" applyProtection="1">
      <alignment horizontal="left" vertical="top" wrapText="1"/>
    </xf>
    <xf numFmtId="0" fontId="1" fillId="0" borderId="0" xfId="1" applyAlignment="1" applyProtection="1">
      <alignment vertical="top" wrapText="1"/>
    </xf>
    <xf numFmtId="0" fontId="6" fillId="0" borderId="0" xfId="1" applyFont="1" applyProtection="1"/>
    <xf numFmtId="0" fontId="114" fillId="0" borderId="0" xfId="1" applyFont="1" applyProtection="1"/>
    <xf numFmtId="0" fontId="6" fillId="0" borderId="0" xfId="1" applyFont="1" applyAlignment="1" applyProtection="1">
      <alignment horizontal="left" vertical="center"/>
    </xf>
    <xf numFmtId="0" fontId="2" fillId="0" borderId="0" xfId="1" applyFont="1" applyAlignment="1" applyProtection="1">
      <alignment horizontal="left"/>
    </xf>
    <xf numFmtId="0" fontId="2" fillId="0" borderId="0" xfId="1" applyFont="1" applyAlignment="1" applyProtection="1">
      <alignment horizontal="right"/>
    </xf>
    <xf numFmtId="0" fontId="6" fillId="0" borderId="0" xfId="1" applyFont="1" applyAlignment="1" applyProtection="1">
      <alignment horizontal="left"/>
    </xf>
    <xf numFmtId="0" fontId="2" fillId="0" borderId="0" xfId="1" applyFont="1" applyAlignment="1" applyProtection="1">
      <alignment horizontal="center" wrapText="1"/>
    </xf>
    <xf numFmtId="0" fontId="0" fillId="0" borderId="0" xfId="0" applyAlignment="1" applyProtection="1">
      <alignment horizontal="center" wrapText="1"/>
    </xf>
    <xf numFmtId="0" fontId="2" fillId="0" borderId="0" xfId="1" applyFont="1" applyAlignment="1" applyProtection="1">
      <alignment wrapText="1"/>
    </xf>
    <xf numFmtId="0" fontId="0" fillId="0" borderId="0" xfId="0" applyAlignment="1" applyProtection="1">
      <alignment wrapText="1"/>
    </xf>
    <xf numFmtId="0" fontId="2" fillId="0" borderId="0" xfId="1" applyFont="1" applyAlignment="1" applyProtection="1">
      <alignment horizontal="center"/>
    </xf>
    <xf numFmtId="0" fontId="9" fillId="2" borderId="1" xfId="1" applyFont="1" applyFill="1" applyBorder="1" applyAlignment="1" applyProtection="1">
      <alignment wrapText="1"/>
    </xf>
    <xf numFmtId="0" fontId="9" fillId="2" borderId="2" xfId="1" applyFont="1" applyFill="1" applyBorder="1" applyAlignment="1" applyProtection="1">
      <alignment wrapText="1"/>
    </xf>
    <xf numFmtId="0" fontId="9" fillId="2" borderId="3" xfId="1" applyFont="1" applyFill="1" applyBorder="1" applyAlignment="1" applyProtection="1">
      <alignment wrapText="1"/>
    </xf>
    <xf numFmtId="0" fontId="9" fillId="2" borderId="1" xfId="1" applyFont="1" applyFill="1" applyBorder="1" applyAlignment="1" applyProtection="1">
      <alignment horizontal="right" wrapText="1"/>
    </xf>
    <xf numFmtId="0" fontId="2" fillId="2" borderId="2" xfId="1" applyFont="1" applyFill="1" applyBorder="1" applyAlignment="1" applyProtection="1"/>
    <xf numFmtId="0" fontId="9" fillId="2" borderId="2" xfId="1" applyFont="1" applyFill="1" applyBorder="1" applyAlignment="1" applyProtection="1">
      <alignment horizontal="right" wrapText="1"/>
    </xf>
    <xf numFmtId="0" fontId="6" fillId="2" borderId="3" xfId="1" applyFont="1" applyFill="1" applyBorder="1" applyAlignment="1" applyProtection="1">
      <alignment horizontal="right"/>
    </xf>
    <xf numFmtId="0" fontId="2" fillId="0" borderId="4" xfId="1" applyFont="1" applyBorder="1" applyAlignment="1" applyProtection="1">
      <alignment vertical="center"/>
    </xf>
    <xf numFmtId="0" fontId="2" fillId="0" borderId="0" xfId="1" applyFont="1" applyBorder="1" applyAlignment="1" applyProtection="1">
      <alignment vertical="center"/>
    </xf>
    <xf numFmtId="1" fontId="2" fillId="0" borderId="0" xfId="1" applyNumberFormat="1" applyFont="1" applyBorder="1" applyAlignment="1" applyProtection="1">
      <alignment horizontal="right" vertical="center"/>
    </xf>
    <xf numFmtId="0" fontId="2" fillId="0" borderId="5" xfId="1" applyFont="1" applyBorder="1" applyAlignment="1" applyProtection="1">
      <alignment vertical="center"/>
    </xf>
    <xf numFmtId="4" fontId="2" fillId="0" borderId="6" xfId="1" applyNumberFormat="1" applyFont="1" applyBorder="1" applyAlignment="1" applyProtection="1">
      <alignment horizontal="right" vertical="center"/>
    </xf>
    <xf numFmtId="4" fontId="2" fillId="0" borderId="7" xfId="1" applyNumberFormat="1" applyFont="1" applyBorder="1" applyAlignment="1" applyProtection="1">
      <alignment horizontal="right" vertical="center"/>
    </xf>
    <xf numFmtId="4" fontId="2" fillId="0" borderId="8" xfId="1" applyNumberFormat="1" applyFont="1" applyBorder="1" applyAlignment="1" applyProtection="1">
      <alignment horizontal="right" vertical="center"/>
    </xf>
    <xf numFmtId="4" fontId="2" fillId="0" borderId="4" xfId="1" applyNumberFormat="1" applyFont="1" applyBorder="1" applyAlignment="1" applyProtection="1">
      <alignment horizontal="right" vertical="center"/>
    </xf>
    <xf numFmtId="4" fontId="2" fillId="0" borderId="0" xfId="1" applyNumberFormat="1" applyFont="1" applyBorder="1" applyAlignment="1" applyProtection="1">
      <alignment horizontal="right" vertical="center"/>
    </xf>
    <xf numFmtId="4" fontId="2" fillId="0" borderId="5" xfId="1" applyNumberFormat="1" applyFont="1" applyBorder="1" applyAlignment="1" applyProtection="1">
      <alignment horizontal="right" vertical="center"/>
    </xf>
    <xf numFmtId="4" fontId="2" fillId="0" borderId="9" xfId="1" applyNumberFormat="1" applyFont="1" applyBorder="1" applyAlignment="1" applyProtection="1">
      <alignment horizontal="right" vertical="center"/>
    </xf>
    <xf numFmtId="4" fontId="2" fillId="0" borderId="10" xfId="1" applyNumberFormat="1" applyFont="1" applyBorder="1" applyAlignment="1" applyProtection="1">
      <alignment horizontal="right" vertical="center"/>
    </xf>
    <xf numFmtId="4" fontId="2" fillId="0" borderId="11" xfId="1" applyNumberFormat="1" applyFont="1" applyBorder="1" applyAlignment="1" applyProtection="1">
      <alignment horizontal="right" vertical="center"/>
    </xf>
    <xf numFmtId="0" fontId="4" fillId="3" borderId="1" xfId="1" applyFont="1" applyFill="1" applyBorder="1" applyAlignment="1" applyProtection="1">
      <alignment vertical="center"/>
    </xf>
    <xf numFmtId="0" fontId="6" fillId="3" borderId="2" xfId="1" applyFont="1" applyFill="1" applyBorder="1" applyAlignment="1" applyProtection="1">
      <alignment vertical="center"/>
    </xf>
    <xf numFmtId="0" fontId="2" fillId="3" borderId="2" xfId="1" applyFont="1" applyFill="1" applyBorder="1" applyAlignment="1" applyProtection="1">
      <alignment vertical="center"/>
    </xf>
    <xf numFmtId="4" fontId="4" fillId="3" borderId="12" xfId="1" applyNumberFormat="1" applyFont="1" applyFill="1" applyBorder="1" applyAlignment="1" applyProtection="1">
      <alignment horizontal="right" vertical="center"/>
    </xf>
    <xf numFmtId="4" fontId="4" fillId="3" borderId="13" xfId="1" applyNumberFormat="1" applyFont="1" applyFill="1" applyBorder="1" applyAlignment="1" applyProtection="1">
      <alignment horizontal="right" vertical="center"/>
    </xf>
    <xf numFmtId="3" fontId="4" fillId="4" borderId="14" xfId="1" applyNumberFormat="1" applyFont="1" applyFill="1" applyBorder="1" applyAlignment="1" applyProtection="1">
      <alignment horizontal="right" vertical="center"/>
    </xf>
    <xf numFmtId="0" fontId="3" fillId="0" borderId="0" xfId="1" applyFont="1" applyAlignment="1" applyProtection="1">
      <alignment horizontal="center"/>
    </xf>
    <xf numFmtId="4" fontId="2" fillId="0" borderId="0" xfId="1" applyNumberFormat="1" applyFont="1" applyProtection="1"/>
    <xf numFmtId="0" fontId="9" fillId="2" borderId="1" xfId="1" applyFont="1" applyFill="1" applyBorder="1" applyAlignment="1" applyProtection="1">
      <alignment vertical="center"/>
    </xf>
    <xf numFmtId="0" fontId="6" fillId="2" borderId="2" xfId="1" applyFont="1" applyFill="1" applyBorder="1" applyAlignment="1" applyProtection="1">
      <alignment vertical="center"/>
    </xf>
    <xf numFmtId="0" fontId="6" fillId="2" borderId="3" xfId="1" applyFont="1" applyFill="1" applyBorder="1" applyAlignment="1" applyProtection="1">
      <alignment vertical="center" wrapText="1"/>
    </xf>
    <xf numFmtId="0" fontId="6" fillId="2" borderId="15" xfId="1" applyFont="1" applyFill="1" applyBorder="1" applyAlignment="1" applyProtection="1">
      <alignment horizontal="center" vertical="center" wrapText="1"/>
    </xf>
    <xf numFmtId="0" fontId="6" fillId="2" borderId="3" xfId="1" applyFont="1" applyFill="1" applyBorder="1" applyAlignment="1" applyProtection="1">
      <alignment horizontal="center" vertical="center" wrapText="1"/>
    </xf>
    <xf numFmtId="0" fontId="2" fillId="5" borderId="0" xfId="1" applyFont="1" applyFill="1" applyAlignment="1" applyProtection="1">
      <alignment horizontal="left" vertical="center"/>
    </xf>
    <xf numFmtId="0" fontId="6" fillId="0" borderId="0" xfId="1" applyFont="1" applyAlignment="1" applyProtection="1">
      <alignment vertical="center"/>
    </xf>
    <xf numFmtId="49" fontId="7" fillId="0" borderId="4" xfId="1" applyNumberFormat="1" applyFont="1" applyBorder="1" applyAlignment="1" applyProtection="1">
      <alignment horizontal="left"/>
    </xf>
    <xf numFmtId="0" fontId="7" fillId="0" borderId="0" xfId="1" applyFont="1" applyBorder="1" applyAlignment="1" applyProtection="1">
      <alignment horizontal="left"/>
    </xf>
    <xf numFmtId="0" fontId="7" fillId="0" borderId="0" xfId="1" applyFont="1" applyBorder="1" applyProtection="1"/>
    <xf numFmtId="164" fontId="7" fillId="0" borderId="0" xfId="1" applyNumberFormat="1" applyFont="1" applyBorder="1" applyProtection="1"/>
    <xf numFmtId="3" fontId="9" fillId="0" borderId="16" xfId="1" applyNumberFormat="1" applyFont="1" applyBorder="1" applyAlignment="1" applyProtection="1">
      <alignment horizontal="right"/>
    </xf>
    <xf numFmtId="3" fontId="7" fillId="0" borderId="16" xfId="1" applyNumberFormat="1" applyFont="1" applyBorder="1" applyAlignment="1" applyProtection="1">
      <alignment horizontal="right"/>
    </xf>
    <xf numFmtId="3" fontId="7" fillId="0" borderId="5" xfId="1" applyNumberFormat="1" applyFont="1" applyBorder="1" applyAlignment="1" applyProtection="1">
      <alignment horizontal="right"/>
    </xf>
    <xf numFmtId="3" fontId="2" fillId="5" borderId="0" xfId="1" applyNumberFormat="1" applyFont="1" applyFill="1" applyProtection="1"/>
    <xf numFmtId="49" fontId="7" fillId="5" borderId="17" xfId="1" applyNumberFormat="1" applyFont="1" applyFill="1" applyBorder="1" applyAlignment="1" applyProtection="1">
      <alignment horizontal="left"/>
    </xf>
    <xf numFmtId="0" fontId="9" fillId="5" borderId="18" xfId="1" applyFont="1" applyFill="1" applyBorder="1" applyAlignment="1" applyProtection="1">
      <alignment horizontal="left"/>
    </xf>
    <xf numFmtId="0" fontId="5" fillId="5" borderId="19" xfId="1" applyFont="1" applyFill="1" applyBorder="1" applyAlignment="1" applyProtection="1"/>
    <xf numFmtId="0" fontId="5" fillId="5" borderId="20" xfId="1" applyFont="1" applyFill="1" applyBorder="1" applyAlignment="1" applyProtection="1"/>
    <xf numFmtId="3" fontId="9" fillId="5" borderId="21" xfId="1" applyNumberFormat="1" applyFont="1" applyFill="1" applyBorder="1" applyAlignment="1" applyProtection="1">
      <alignment horizontal="right"/>
    </xf>
    <xf numFmtId="3" fontId="9" fillId="0" borderId="21" xfId="1" applyNumberFormat="1" applyFont="1" applyFill="1" applyBorder="1" applyAlignment="1" applyProtection="1">
      <alignment horizontal="right"/>
    </xf>
    <xf numFmtId="3" fontId="9" fillId="5" borderId="22" xfId="1" applyNumberFormat="1" applyFont="1" applyFill="1" applyBorder="1" applyAlignment="1" applyProtection="1">
      <alignment horizontal="right"/>
    </xf>
    <xf numFmtId="0" fontId="2" fillId="5" borderId="0" xfId="1" applyFont="1" applyFill="1" applyProtection="1"/>
    <xf numFmtId="49" fontId="7" fillId="0" borderId="17" xfId="1" applyNumberFormat="1" applyFont="1" applyFill="1" applyBorder="1" applyAlignment="1" applyProtection="1">
      <alignment horizontal="left"/>
    </xf>
    <xf numFmtId="0" fontId="9" fillId="0" borderId="18" xfId="1" applyFont="1" applyFill="1" applyBorder="1" applyAlignment="1" applyProtection="1">
      <alignment horizontal="left"/>
    </xf>
    <xf numFmtId="0" fontId="5" fillId="0" borderId="19" xfId="1" applyFont="1" applyFill="1" applyBorder="1" applyAlignment="1" applyProtection="1"/>
    <xf numFmtId="0" fontId="5" fillId="0" borderId="20" xfId="1" applyFont="1" applyFill="1" applyBorder="1" applyAlignment="1" applyProtection="1"/>
    <xf numFmtId="3" fontId="9" fillId="0" borderId="22" xfId="1" applyNumberFormat="1" applyFont="1" applyFill="1" applyBorder="1" applyAlignment="1" applyProtection="1">
      <alignment horizontal="right"/>
    </xf>
    <xf numFmtId="3" fontId="2" fillId="0" borderId="0" xfId="1" applyNumberFormat="1" applyFont="1" applyProtection="1"/>
    <xf numFmtId="0" fontId="7" fillId="0" borderId="18" xfId="1" applyFont="1" applyFill="1" applyBorder="1" applyAlignment="1" applyProtection="1">
      <alignment horizontal="left"/>
    </xf>
    <xf numFmtId="0" fontId="1" fillId="0" borderId="19" xfId="1" applyFill="1" applyBorder="1" applyAlignment="1" applyProtection="1"/>
    <xf numFmtId="0" fontId="1" fillId="0" borderId="20" xfId="1" applyFill="1" applyBorder="1" applyAlignment="1" applyProtection="1"/>
    <xf numFmtId="3" fontId="7" fillId="0" borderId="21" xfId="1" applyNumberFormat="1" applyFont="1" applyFill="1" applyBorder="1" applyAlignment="1" applyProtection="1">
      <alignment horizontal="right"/>
    </xf>
    <xf numFmtId="3" fontId="7" fillId="0" borderId="22" xfId="1" applyNumberFormat="1" applyFont="1" applyFill="1" applyBorder="1" applyAlignment="1" applyProtection="1">
      <alignment horizontal="right"/>
    </xf>
    <xf numFmtId="4" fontId="6" fillId="0" borderId="0" xfId="1" applyNumberFormat="1" applyFont="1" applyProtection="1"/>
    <xf numFmtId="3" fontId="16" fillId="0" borderId="0" xfId="1" applyNumberFormat="1" applyFont="1" applyAlignment="1" applyProtection="1">
      <alignment vertical="center"/>
    </xf>
    <xf numFmtId="0" fontId="9" fillId="3" borderId="1" xfId="1" applyFont="1" applyFill="1" applyBorder="1" applyAlignment="1" applyProtection="1">
      <alignment vertical="center"/>
    </xf>
    <xf numFmtId="49" fontId="9" fillId="3" borderId="2" xfId="1" applyNumberFormat="1" applyFont="1" applyFill="1" applyBorder="1" applyAlignment="1" applyProtection="1">
      <alignment horizontal="left" vertical="center"/>
    </xf>
    <xf numFmtId="0" fontId="9" fillId="3" borderId="2" xfId="1" applyFont="1" applyFill="1" applyBorder="1" applyAlignment="1" applyProtection="1">
      <alignment vertical="center"/>
    </xf>
    <xf numFmtId="164" fontId="7" fillId="3" borderId="3" xfId="1" applyNumberFormat="1" applyFont="1" applyFill="1" applyBorder="1" applyProtection="1"/>
    <xf numFmtId="3" fontId="9" fillId="3" borderId="15" xfId="1" applyNumberFormat="1" applyFont="1" applyFill="1" applyBorder="1" applyAlignment="1" applyProtection="1">
      <alignment horizontal="right" vertical="center"/>
    </xf>
    <xf numFmtId="3" fontId="6" fillId="0" borderId="0" xfId="1" applyNumberFormat="1" applyFont="1" applyAlignment="1" applyProtection="1">
      <alignment vertical="center"/>
    </xf>
    <xf numFmtId="3" fontId="3" fillId="0" borderId="0" xfId="1" applyNumberFormat="1" applyFont="1" applyAlignment="1" applyProtection="1">
      <alignment horizontal="center"/>
    </xf>
    <xf numFmtId="0" fontId="10" fillId="0" borderId="0" xfId="1" applyFont="1" applyFill="1" applyBorder="1" applyAlignment="1" applyProtection="1">
      <alignment horizontal="left" vertical="center" wrapText="1"/>
    </xf>
    <xf numFmtId="0" fontId="1" fillId="0" borderId="0" xfId="1" applyAlignment="1" applyProtection="1">
      <alignment horizontal="left" vertical="center" wrapText="1"/>
    </xf>
    <xf numFmtId="0" fontId="10" fillId="0" borderId="0" xfId="1" applyFont="1" applyFill="1" applyBorder="1" applyProtection="1"/>
    <xf numFmtId="0" fontId="10" fillId="0" borderId="0" xfId="1" applyFont="1" applyAlignment="1" applyProtection="1">
      <alignment horizontal="left" vertical="center" wrapText="1"/>
    </xf>
    <xf numFmtId="0" fontId="11" fillId="0" borderId="0" xfId="1" applyFont="1" applyAlignment="1" applyProtection="1">
      <alignment vertical="center" wrapText="1"/>
    </xf>
    <xf numFmtId="0" fontId="11" fillId="0" borderId="0" xfId="1" applyFont="1" applyAlignment="1" applyProtection="1">
      <alignment vertical="center"/>
    </xf>
    <xf numFmtId="4" fontId="10" fillId="0" borderId="0" xfId="2" applyNumberFormat="1" applyFont="1" applyBorder="1" applyProtection="1"/>
    <xf numFmtId="0" fontId="10" fillId="0" borderId="0" xfId="2" applyFont="1" applyProtection="1"/>
    <xf numFmtId="0" fontId="12" fillId="0" borderId="0" xfId="2" applyFont="1" applyAlignment="1" applyProtection="1">
      <alignment wrapText="1"/>
    </xf>
    <xf numFmtId="0" fontId="12" fillId="0" borderId="0" xfId="2" applyFont="1" applyProtection="1"/>
    <xf numFmtId="0" fontId="10" fillId="0" borderId="0" xfId="1" applyFont="1" applyAlignment="1" applyProtection="1">
      <alignment vertical="center"/>
    </xf>
    <xf numFmtId="0" fontId="11" fillId="0" borderId="0" xfId="1" applyFont="1" applyAlignment="1" applyProtection="1">
      <alignment horizontal="left" vertical="center" wrapText="1"/>
    </xf>
    <xf numFmtId="0" fontId="1" fillId="0" borderId="0" xfId="1" applyAlignment="1" applyProtection="1">
      <alignment horizontal="left" vertical="center"/>
    </xf>
    <xf numFmtId="0" fontId="10" fillId="0" borderId="0" xfId="1" applyFont="1" applyProtection="1"/>
    <xf numFmtId="0" fontId="10" fillId="0" borderId="0" xfId="1" applyFont="1" applyBorder="1" applyAlignment="1" applyProtection="1">
      <alignment horizontal="justify" vertical="center" wrapText="1"/>
    </xf>
    <xf numFmtId="0" fontId="11" fillId="0" borderId="0" xfId="1" applyFont="1" applyBorder="1" applyAlignment="1" applyProtection="1">
      <alignment vertical="center" wrapText="1"/>
    </xf>
    <xf numFmtId="0" fontId="10" fillId="0" borderId="0" xfId="1" applyFont="1" applyAlignment="1" applyProtection="1">
      <alignment horizontal="justify" vertical="center" wrapText="1"/>
    </xf>
    <xf numFmtId="0" fontId="10" fillId="0" borderId="0" xfId="2" applyFont="1" applyAlignment="1" applyProtection="1">
      <alignment wrapText="1"/>
    </xf>
    <xf numFmtId="2" fontId="2" fillId="0" borderId="0" xfId="1" applyNumberFormat="1" applyFont="1" applyProtection="1"/>
    <xf numFmtId="0" fontId="11" fillId="0" borderId="0" xfId="3" applyFont="1" applyFill="1" applyAlignment="1" applyProtection="1">
      <alignment vertical="center"/>
    </xf>
    <xf numFmtId="0" fontId="13" fillId="0" borderId="0" xfId="3" applyFont="1" applyFill="1" applyAlignment="1" applyProtection="1">
      <alignment horizontal="centerContinuous" vertical="center"/>
    </xf>
    <xf numFmtId="0" fontId="14" fillId="0" borderId="0" xfId="3" applyFont="1" applyFill="1" applyAlignment="1" applyProtection="1">
      <alignment horizontal="centerContinuous" vertical="center"/>
    </xf>
    <xf numFmtId="0" fontId="14" fillId="0" borderId="0" xfId="3" applyFont="1" applyFill="1" applyAlignment="1" applyProtection="1">
      <alignment horizontal="right" vertical="center"/>
    </xf>
    <xf numFmtId="0" fontId="1" fillId="0" borderId="0" xfId="3" applyAlignment="1" applyProtection="1">
      <alignment vertical="center"/>
    </xf>
    <xf numFmtId="0" fontId="1" fillId="0" borderId="0" xfId="3" applyFill="1" applyAlignment="1" applyProtection="1">
      <alignment vertical="center"/>
    </xf>
    <xf numFmtId="0" fontId="2" fillId="0" borderId="0" xfId="4" applyFont="1" applyProtection="1"/>
    <xf numFmtId="0" fontId="1" fillId="0" borderId="23" xfId="3" applyFont="1" applyFill="1" applyBorder="1" applyAlignment="1" applyProtection="1">
      <alignment horizontal="center" vertical="center"/>
    </xf>
    <xf numFmtId="0" fontId="1" fillId="0" borderId="24" xfId="3" applyFont="1" applyFill="1" applyBorder="1" applyAlignment="1" applyProtection="1">
      <alignment horizontal="center" vertical="center"/>
    </xf>
    <xf numFmtId="0" fontId="15" fillId="0" borderId="24" xfId="3" applyFont="1" applyFill="1" applyBorder="1" applyAlignment="1" applyProtection="1">
      <alignment vertical="center" wrapText="1"/>
    </xf>
    <xf numFmtId="0" fontId="1" fillId="0" borderId="24" xfId="4" applyBorder="1" applyAlignment="1" applyProtection="1">
      <alignment vertical="center" wrapText="1"/>
    </xf>
    <xf numFmtId="0" fontId="1" fillId="0" borderId="25" xfId="4" applyBorder="1" applyAlignment="1" applyProtection="1">
      <alignment vertical="center" wrapText="1"/>
    </xf>
    <xf numFmtId="0" fontId="1" fillId="0" borderId="26" xfId="3" applyFont="1" applyFill="1" applyBorder="1" applyAlignment="1" applyProtection="1">
      <alignment horizontal="center" vertical="center"/>
    </xf>
    <xf numFmtId="0" fontId="1" fillId="0" borderId="5" xfId="3" applyFont="1" applyFill="1" applyBorder="1" applyAlignment="1" applyProtection="1">
      <alignment horizontal="center" vertical="center"/>
    </xf>
    <xf numFmtId="0" fontId="1" fillId="0" borderId="27" xfId="4" applyBorder="1" applyAlignment="1" applyProtection="1">
      <alignment vertical="center" wrapText="1"/>
    </xf>
    <xf numFmtId="0" fontId="1" fillId="0" borderId="28" xfId="4" applyBorder="1" applyAlignment="1" applyProtection="1">
      <alignment vertical="center" wrapText="1"/>
    </xf>
    <xf numFmtId="49" fontId="1" fillId="0" borderId="29" xfId="3" applyNumberFormat="1" applyFont="1" applyFill="1" applyBorder="1" applyAlignment="1" applyProtection="1">
      <alignment horizontal="center" vertical="center"/>
    </xf>
    <xf numFmtId="0" fontId="1" fillId="0" borderId="30" xfId="3" applyFont="1" applyFill="1" applyBorder="1" applyAlignment="1" applyProtection="1">
      <alignment horizontal="center" vertical="center"/>
    </xf>
    <xf numFmtId="0" fontId="15" fillId="0" borderId="30" xfId="3" applyFont="1" applyFill="1" applyBorder="1" applyAlignment="1" applyProtection="1">
      <alignment vertical="center" wrapText="1"/>
    </xf>
    <xf numFmtId="0" fontId="1" fillId="0" borderId="30" xfId="4" applyBorder="1" applyAlignment="1" applyProtection="1">
      <alignment vertical="center" wrapText="1"/>
    </xf>
    <xf numFmtId="0" fontId="1" fillId="0" borderId="31" xfId="4" applyBorder="1" applyAlignment="1" applyProtection="1">
      <alignment vertical="center" wrapText="1"/>
    </xf>
    <xf numFmtId="0" fontId="2" fillId="0" borderId="0" xfId="4" applyFont="1" applyFill="1" applyProtection="1"/>
    <xf numFmtId="4" fontId="7" fillId="0" borderId="0" xfId="4" applyNumberFormat="1" applyFont="1" applyProtection="1"/>
    <xf numFmtId="4" fontId="2" fillId="0" borderId="0" xfId="4" applyNumberFormat="1" applyFont="1" applyProtection="1"/>
    <xf numFmtId="0" fontId="6" fillId="0" borderId="0" xfId="4" applyFont="1" applyFill="1" applyAlignment="1" applyProtection="1">
      <alignment horizontal="left" vertical="center"/>
    </xf>
    <xf numFmtId="0" fontId="2" fillId="0" borderId="0" xfId="4" applyFont="1" applyFill="1" applyAlignment="1" applyProtection="1">
      <alignment horizontal="center" vertical="center"/>
    </xf>
    <xf numFmtId="39" fontId="11" fillId="0" borderId="15" xfId="5" applyNumberFormat="1" applyFont="1" applyFill="1" applyBorder="1" applyAlignment="1" applyProtection="1">
      <alignment horizontal="center" vertical="center"/>
    </xf>
    <xf numFmtId="0" fontId="16" fillId="0" borderId="0" xfId="4" applyFont="1" applyFill="1" applyAlignment="1" applyProtection="1">
      <alignment vertical="center"/>
    </xf>
    <xf numFmtId="4" fontId="2" fillId="0" borderId="0" xfId="4" applyNumberFormat="1" applyFont="1" applyFill="1" applyAlignment="1" applyProtection="1">
      <alignment horizontal="center" vertical="center"/>
    </xf>
    <xf numFmtId="3" fontId="2" fillId="0" borderId="0" xfId="4" applyNumberFormat="1" applyFont="1" applyFill="1" applyProtection="1"/>
    <xf numFmtId="0" fontId="16" fillId="0" borderId="0" xfId="4" applyFont="1" applyFill="1" applyProtection="1"/>
    <xf numFmtId="0" fontId="111" fillId="0" borderId="0" xfId="4" applyFont="1" applyFill="1" applyAlignment="1" applyProtection="1">
      <alignment vertical="center"/>
    </xf>
    <xf numFmtId="4" fontId="6" fillId="0" borderId="0" xfId="4" applyNumberFormat="1" applyFont="1" applyFill="1" applyAlignment="1" applyProtection="1">
      <alignment horizontal="left" vertical="center"/>
    </xf>
    <xf numFmtId="0" fontId="74" fillId="0" borderId="0" xfId="4" applyFont="1" applyFill="1" applyAlignment="1" applyProtection="1">
      <alignment horizontal="left" vertical="center"/>
    </xf>
    <xf numFmtId="4" fontId="2" fillId="0" borderId="0" xfId="4" applyNumberFormat="1" applyFont="1" applyFill="1" applyProtection="1"/>
    <xf numFmtId="0" fontId="10" fillId="0" borderId="0" xfId="6" applyFont="1" applyAlignment="1" applyProtection="1">
      <alignment vertical="center"/>
    </xf>
    <xf numFmtId="49" fontId="10" fillId="0" borderId="0" xfId="6" applyNumberFormat="1" applyFont="1" applyAlignment="1" applyProtection="1">
      <alignment vertical="center"/>
    </xf>
    <xf numFmtId="0" fontId="1" fillId="0" borderId="0" xfId="5" applyFill="1" applyAlignment="1" applyProtection="1">
      <alignment vertical="center" wrapText="1"/>
    </xf>
    <xf numFmtId="0" fontId="10" fillId="0" borderId="0" xfId="6" applyFont="1" applyFill="1" applyBorder="1" applyAlignment="1" applyProtection="1">
      <alignment vertical="center" wrapText="1"/>
    </xf>
    <xf numFmtId="0" fontId="19" fillId="0" borderId="0" xfId="5" applyFont="1" applyFill="1" applyAlignment="1" applyProtection="1">
      <alignment vertical="center" wrapText="1"/>
    </xf>
    <xf numFmtId="4" fontId="11" fillId="0" borderId="15" xfId="3" applyNumberFormat="1" applyFont="1" applyFill="1" applyBorder="1" applyAlignment="1" applyProtection="1">
      <alignment vertical="center" wrapText="1"/>
      <protection locked="0"/>
    </xf>
    <xf numFmtId="0" fontId="19" fillId="0" borderId="0" xfId="7" applyFill="1" applyAlignment="1" applyProtection="1">
      <alignment horizontal="left" vertical="top"/>
    </xf>
    <xf numFmtId="0" fontId="19" fillId="0" borderId="0" xfId="7" applyAlignment="1" applyProtection="1">
      <alignment horizontal="left" vertical="top"/>
    </xf>
    <xf numFmtId="0" fontId="19" fillId="0" borderId="0" xfId="7" applyFill="1" applyAlignment="1" applyProtection="1">
      <alignment horizontal="left" wrapText="1"/>
    </xf>
    <xf numFmtId="0" fontId="19" fillId="0" borderId="0" xfId="7" applyFill="1" applyAlignment="1" applyProtection="1">
      <alignment horizontal="left" wrapText="1"/>
    </xf>
    <xf numFmtId="0" fontId="39" fillId="0" borderId="0" xfId="7" applyFont="1" applyFill="1" applyAlignment="1" applyProtection="1">
      <alignment horizontal="left" vertical="center"/>
    </xf>
    <xf numFmtId="37" fontId="21" fillId="0" borderId="0" xfId="7" applyNumberFormat="1" applyFont="1" applyFill="1" applyAlignment="1" applyProtection="1">
      <alignment horizontal="right"/>
    </xf>
    <xf numFmtId="0" fontId="21" fillId="0" borderId="0" xfId="7" applyFont="1" applyFill="1" applyAlignment="1" applyProtection="1">
      <alignment horizontal="left" wrapText="1"/>
    </xf>
    <xf numFmtId="165" fontId="21" fillId="0" borderId="0" xfId="7" applyNumberFormat="1" applyFont="1" applyFill="1" applyAlignment="1" applyProtection="1">
      <alignment horizontal="right"/>
    </xf>
    <xf numFmtId="4" fontId="21" fillId="0" borderId="0" xfId="7" applyNumberFormat="1" applyFont="1" applyFill="1" applyAlignment="1" applyProtection="1">
      <alignment horizontal="right"/>
    </xf>
    <xf numFmtId="0" fontId="23" fillId="0" borderId="0" xfId="7" applyFont="1" applyFill="1" applyAlignment="1" applyProtection="1">
      <alignment horizontal="left" vertical="center"/>
    </xf>
    <xf numFmtId="37" fontId="21" fillId="0" borderId="34" xfId="7" applyNumberFormat="1" applyFont="1" applyFill="1" applyBorder="1" applyAlignment="1" applyProtection="1">
      <alignment horizontal="right"/>
    </xf>
    <xf numFmtId="0" fontId="21" fillId="0" borderId="34" xfId="7" applyFont="1" applyFill="1" applyBorder="1" applyAlignment="1" applyProtection="1">
      <alignment horizontal="left" wrapText="1"/>
    </xf>
    <xf numFmtId="2" fontId="21" fillId="0" borderId="34" xfId="7" applyNumberFormat="1" applyFont="1" applyFill="1" applyBorder="1" applyAlignment="1" applyProtection="1">
      <alignment horizontal="right"/>
    </xf>
    <xf numFmtId="4" fontId="21" fillId="0" borderId="34" xfId="7" applyNumberFormat="1" applyFont="1" applyFill="1" applyBorder="1" applyAlignment="1" applyProtection="1">
      <alignment horizontal="right"/>
    </xf>
    <xf numFmtId="0" fontId="19" fillId="0" borderId="34" xfId="7" applyFill="1" applyBorder="1" applyAlignment="1" applyProtection="1">
      <alignment vertical="top"/>
    </xf>
    <xf numFmtId="0" fontId="19" fillId="0" borderId="0" xfId="7" applyFont="1" applyFill="1" applyAlignment="1" applyProtection="1">
      <alignment horizontal="left" vertical="top"/>
    </xf>
    <xf numFmtId="49" fontId="11" fillId="0" borderId="34" xfId="24" applyNumberFormat="1" applyFont="1" applyFill="1" applyBorder="1" applyAlignment="1" applyProtection="1">
      <alignment horizontal="right" wrapText="1"/>
    </xf>
    <xf numFmtId="49" fontId="11" fillId="0" borderId="34" xfId="24" applyNumberFormat="1" applyFont="1" applyFill="1" applyBorder="1" applyAlignment="1" applyProtection="1">
      <alignment horizontal="left" wrapText="1"/>
    </xf>
    <xf numFmtId="4" fontId="11" fillId="0" borderId="34" xfId="24" applyNumberFormat="1" applyFont="1" applyFill="1" applyBorder="1" applyAlignment="1" applyProtection="1">
      <alignment horizontal="right"/>
    </xf>
    <xf numFmtId="39" fontId="11" fillId="0" borderId="34" xfId="24" applyNumberFormat="1" applyFont="1" applyFill="1" applyBorder="1" applyAlignment="1" applyProtection="1">
      <alignment horizontal="center"/>
    </xf>
    <xf numFmtId="0" fontId="77" fillId="0" borderId="0" xfId="24" applyFill="1" applyAlignment="1" applyProtection="1">
      <alignment horizontal="left" vertical="top"/>
    </xf>
    <xf numFmtId="0" fontId="1" fillId="0" borderId="0" xfId="24" applyFont="1" applyFill="1" applyAlignment="1" applyProtection="1">
      <alignment horizontal="left" vertical="top"/>
    </xf>
    <xf numFmtId="0" fontId="77" fillId="0" borderId="0" xfId="24" applyAlignment="1" applyProtection="1">
      <alignment horizontal="left" vertical="top"/>
    </xf>
    <xf numFmtId="0" fontId="25" fillId="0" borderId="34" xfId="24" applyFont="1" applyFill="1" applyBorder="1" applyAlignment="1" applyProtection="1">
      <alignment horizontal="left" vertical="center" wrapText="1"/>
    </xf>
    <xf numFmtId="2" fontId="17" fillId="0" borderId="34" xfId="24" applyNumberFormat="1" applyFont="1" applyFill="1" applyBorder="1" applyAlignment="1" applyProtection="1">
      <alignment horizontal="right"/>
    </xf>
    <xf numFmtId="4" fontId="25" fillId="0" borderId="34" xfId="24" applyNumberFormat="1" applyFont="1" applyFill="1" applyBorder="1" applyAlignment="1" applyProtection="1">
      <alignment horizontal="right" vertical="center"/>
    </xf>
    <xf numFmtId="0" fontId="77" fillId="0" borderId="0" xfId="24" applyFill="1" applyAlignment="1" applyProtection="1">
      <alignment horizontal="left" vertical="center"/>
    </xf>
    <xf numFmtId="0" fontId="1" fillId="0" borderId="0" xfId="24" applyFont="1" applyFill="1" applyAlignment="1" applyProtection="1">
      <alignment horizontal="left" vertical="center"/>
    </xf>
    <xf numFmtId="0" fontId="77" fillId="0" borderId="0" xfId="24" applyAlignment="1" applyProtection="1">
      <alignment horizontal="left" vertical="center"/>
    </xf>
    <xf numFmtId="2" fontId="1" fillId="0" borderId="0" xfId="24" applyNumberFormat="1" applyFont="1" applyFill="1" applyAlignment="1" applyProtection="1">
      <alignment horizontal="left" vertical="center"/>
    </xf>
    <xf numFmtId="49" fontId="46" fillId="0" borderId="34" xfId="24" applyNumberFormat="1" applyFont="1" applyFill="1" applyBorder="1" applyAlignment="1" applyProtection="1">
      <alignment horizontal="right" wrapText="1"/>
    </xf>
    <xf numFmtId="49" fontId="46" fillId="0" borderId="34" xfId="24" applyNumberFormat="1" applyFont="1" applyFill="1" applyBorder="1" applyAlignment="1" applyProtection="1">
      <alignment horizontal="left" wrapText="1"/>
    </xf>
    <xf numFmtId="4" fontId="46" fillId="0" borderId="34" xfId="24" applyNumberFormat="1" applyFont="1" applyFill="1" applyBorder="1" applyAlignment="1" applyProtection="1">
      <alignment horizontal="right"/>
    </xf>
    <xf numFmtId="39" fontId="46" fillId="0" borderId="34" xfId="24" applyNumberFormat="1" applyFont="1" applyFill="1" applyBorder="1" applyAlignment="1" applyProtection="1">
      <alignment horizontal="center"/>
    </xf>
    <xf numFmtId="0" fontId="33" fillId="0" borderId="0" xfId="24" applyFont="1" applyFill="1" applyAlignment="1" applyProtection="1">
      <alignment horizontal="left" vertical="center"/>
    </xf>
    <xf numFmtId="0" fontId="47" fillId="0" borderId="34" xfId="24" applyFont="1" applyFill="1" applyBorder="1" applyAlignment="1" applyProtection="1">
      <alignment horizontal="left" vertical="center" wrapText="1"/>
    </xf>
    <xf numFmtId="2" fontId="48" fillId="0" borderId="34" xfId="24" applyNumberFormat="1" applyFont="1" applyFill="1" applyBorder="1" applyAlignment="1" applyProtection="1">
      <alignment horizontal="right"/>
    </xf>
    <xf numFmtId="4" fontId="47" fillId="0" borderId="34" xfId="24" applyNumberFormat="1" applyFont="1" applyFill="1" applyBorder="1" applyAlignment="1" applyProtection="1">
      <alignment horizontal="right" vertical="center"/>
    </xf>
    <xf numFmtId="166" fontId="77" fillId="0" borderId="0" xfId="24" applyNumberFormat="1" applyFill="1" applyAlignment="1" applyProtection="1">
      <alignment horizontal="left" vertical="center"/>
    </xf>
    <xf numFmtId="37" fontId="11" fillId="0" borderId="34" xfId="7" applyNumberFormat="1" applyFont="1" applyFill="1" applyBorder="1" applyAlignment="1" applyProtection="1">
      <alignment horizontal="right"/>
    </xf>
    <xf numFmtId="49" fontId="11" fillId="0" borderId="34" xfId="7" applyNumberFormat="1" applyFont="1" applyFill="1" applyBorder="1" applyAlignment="1" applyProtection="1">
      <alignment horizontal="left" wrapText="1"/>
    </xf>
    <xf numFmtId="0" fontId="11" fillId="0" borderId="34" xfId="7" applyFont="1" applyFill="1" applyBorder="1" applyAlignment="1" applyProtection="1">
      <alignment horizontal="left" wrapText="1"/>
    </xf>
    <xf numFmtId="2" fontId="11" fillId="0" borderId="34" xfId="7" applyNumberFormat="1" applyFont="1" applyFill="1" applyBorder="1" applyAlignment="1" applyProtection="1">
      <alignment horizontal="right"/>
    </xf>
    <xf numFmtId="4" fontId="11" fillId="0" borderId="34" xfId="7" applyNumberFormat="1" applyFont="1" applyFill="1" applyBorder="1" applyAlignment="1" applyProtection="1">
      <alignment horizontal="right"/>
    </xf>
    <xf numFmtId="0" fontId="31" fillId="0" borderId="0" xfId="7" applyFont="1" applyFill="1" applyAlignment="1" applyProtection="1">
      <alignment horizontal="left" vertical="top"/>
    </xf>
    <xf numFmtId="0" fontId="17" fillId="0" borderId="34" xfId="7" applyFont="1" applyFill="1" applyBorder="1" applyAlignment="1" applyProtection="1">
      <alignment horizontal="left" wrapText="1"/>
    </xf>
    <xf numFmtId="2" fontId="42" fillId="0" borderId="34" xfId="7" applyNumberFormat="1" applyFont="1" applyFill="1" applyBorder="1" applyAlignment="1" applyProtection="1">
      <alignment horizontal="right" wrapText="1"/>
    </xf>
    <xf numFmtId="39" fontId="11" fillId="0" borderId="34" xfId="7" applyNumberFormat="1" applyFont="1" applyFill="1" applyBorder="1" applyAlignment="1" applyProtection="1">
      <alignment horizontal="center"/>
    </xf>
    <xf numFmtId="0" fontId="39" fillId="0" borderId="0" xfId="7" applyFont="1" applyFill="1" applyAlignment="1" applyProtection="1">
      <alignment horizontal="center" vertical="center"/>
    </xf>
    <xf numFmtId="0" fontId="67" fillId="0" borderId="0" xfId="7" applyFont="1" applyFill="1" applyAlignment="1" applyProtection="1">
      <alignment horizontal="center" vertical="center"/>
    </xf>
    <xf numFmtId="2" fontId="11" fillId="0" borderId="34" xfId="24" applyNumberFormat="1" applyFont="1" applyFill="1" applyBorder="1" applyAlignment="1" applyProtection="1">
      <alignment horizontal="right"/>
    </xf>
    <xf numFmtId="0" fontId="35" fillId="0" borderId="0" xfId="7" applyFont="1" applyFill="1" applyAlignment="1" applyProtection="1">
      <alignment horizontal="left" vertical="center"/>
    </xf>
    <xf numFmtId="0" fontId="93" fillId="0" borderId="0" xfId="7" applyFont="1" applyFill="1" applyAlignment="1" applyProtection="1">
      <alignment horizontal="left" vertical="center"/>
    </xf>
    <xf numFmtId="0" fontId="88" fillId="0" borderId="0" xfId="7" applyFont="1" applyFill="1" applyAlignment="1" applyProtection="1">
      <alignment horizontal="center" vertical="center"/>
    </xf>
    <xf numFmtId="0" fontId="89" fillId="0" borderId="0" xfId="35" applyFont="1" applyFill="1" applyAlignment="1" applyProtection="1">
      <alignment vertical="top" wrapText="1"/>
    </xf>
    <xf numFmtId="0" fontId="90" fillId="0" borderId="0" xfId="35" applyFont="1" applyFill="1" applyAlignment="1" applyProtection="1">
      <alignment horizontal="left" wrapText="1"/>
    </xf>
    <xf numFmtId="0" fontId="11" fillId="0" borderId="0" xfId="35" applyFont="1" applyFill="1" applyAlignment="1" applyProtection="1">
      <alignment horizontal="left" wrapText="1"/>
    </xf>
    <xf numFmtId="2" fontId="11" fillId="0" borderId="0" xfId="35" applyNumberFormat="1" applyFont="1" applyFill="1" applyAlignment="1" applyProtection="1">
      <alignment horizontal="right"/>
    </xf>
    <xf numFmtId="39" fontId="11" fillId="0" borderId="0" xfId="35" applyNumberFormat="1" applyFont="1" applyFill="1" applyAlignment="1" applyProtection="1">
      <alignment horizontal="right"/>
    </xf>
    <xf numFmtId="39" fontId="11" fillId="0" borderId="0" xfId="35" applyNumberFormat="1" applyFont="1" applyFill="1" applyAlignment="1" applyProtection="1">
      <alignment horizontal="center"/>
    </xf>
    <xf numFmtId="0" fontId="1" fillId="0" borderId="0" xfId="35" applyFill="1" applyAlignment="1" applyProtection="1">
      <alignment horizontal="left" vertical="top"/>
    </xf>
    <xf numFmtId="0" fontId="32" fillId="0" borderId="0" xfId="35" applyFont="1" applyFill="1" applyAlignment="1" applyProtection="1">
      <alignment horizontal="left" vertical="center" textRotation="90" wrapText="1"/>
    </xf>
    <xf numFmtId="0" fontId="17" fillId="0" borderId="34" xfId="24" applyFont="1" applyFill="1" applyBorder="1" applyAlignment="1" applyProtection="1">
      <alignment horizontal="left" vertical="center" wrapText="1"/>
    </xf>
    <xf numFmtId="0" fontId="98" fillId="0" borderId="0" xfId="7" applyFont="1" applyFill="1" applyAlignment="1" applyProtection="1">
      <alignment horizontal="left" vertical="center"/>
    </xf>
    <xf numFmtId="0" fontId="37" fillId="0" borderId="0" xfId="35" applyFont="1" applyFill="1" applyAlignment="1" applyProtection="1">
      <alignment vertical="top" wrapText="1"/>
    </xf>
    <xf numFmtId="0" fontId="17" fillId="0" borderId="0" xfId="35" applyFont="1" applyFill="1" applyAlignment="1" applyProtection="1">
      <alignment horizontal="left" wrapText="1"/>
    </xf>
    <xf numFmtId="37" fontId="11" fillId="0" borderId="34" xfId="24" applyNumberFormat="1" applyFont="1" applyFill="1" applyBorder="1" applyAlignment="1" applyProtection="1">
      <alignment horizontal="right"/>
    </xf>
    <xf numFmtId="39" fontId="11" fillId="0" borderId="34" xfId="24" applyNumberFormat="1" applyFont="1" applyFill="1" applyBorder="1" applyAlignment="1" applyProtection="1">
      <alignment horizontal="right"/>
    </xf>
    <xf numFmtId="0" fontId="37" fillId="0" borderId="0" xfId="24" applyFont="1" applyFill="1" applyAlignment="1" applyProtection="1">
      <alignment vertical="top" wrapText="1"/>
    </xf>
    <xf numFmtId="0" fontId="17" fillId="0" borderId="0" xfId="24" applyFont="1" applyFill="1" applyBorder="1" applyAlignment="1" applyProtection="1">
      <alignment horizontal="left" wrapText="1"/>
    </xf>
    <xf numFmtId="0" fontId="11" fillId="0" borderId="0" xfId="24" applyFont="1" applyFill="1" applyBorder="1" applyAlignment="1" applyProtection="1">
      <alignment horizontal="left" wrapText="1"/>
    </xf>
    <xf numFmtId="2" fontId="11" fillId="0" borderId="0" xfId="24" applyNumberFormat="1" applyFont="1" applyFill="1" applyBorder="1" applyAlignment="1" applyProtection="1">
      <alignment horizontal="right"/>
    </xf>
    <xf numFmtId="39" fontId="11" fillId="0" borderId="0" xfId="24" applyNumberFormat="1" applyFont="1" applyFill="1" applyBorder="1" applyAlignment="1" applyProtection="1">
      <alignment horizontal="right"/>
    </xf>
    <xf numFmtId="39" fontId="11" fillId="0" borderId="0" xfId="24" applyNumberFormat="1" applyFont="1" applyFill="1" applyBorder="1" applyAlignment="1" applyProtection="1">
      <alignment horizontal="center"/>
    </xf>
    <xf numFmtId="0" fontId="32" fillId="0" borderId="0" xfId="24" applyFont="1" applyFill="1" applyAlignment="1" applyProtection="1">
      <alignment horizontal="left" vertical="center" textRotation="90" wrapText="1"/>
    </xf>
    <xf numFmtId="0" fontId="17" fillId="0" borderId="34" xfId="21" applyFont="1" applyFill="1" applyBorder="1" applyAlignment="1" applyProtection="1">
      <alignment horizontal="left" vertical="center" wrapText="1"/>
    </xf>
    <xf numFmtId="0" fontId="85" fillId="0" borderId="0" xfId="7" applyFont="1" applyFill="1" applyAlignment="1" applyProtection="1">
      <alignment horizontal="left" vertical="center"/>
    </xf>
    <xf numFmtId="2" fontId="35" fillId="0" borderId="0" xfId="7" applyNumberFormat="1" applyFont="1" applyFill="1" applyAlignment="1" applyProtection="1">
      <alignment horizontal="left" vertical="center"/>
    </xf>
    <xf numFmtId="2" fontId="100" fillId="0" borderId="0" xfId="7" applyNumberFormat="1" applyFont="1" applyFill="1" applyAlignment="1" applyProtection="1">
      <alignment horizontal="right" vertical="center"/>
    </xf>
    <xf numFmtId="2" fontId="17" fillId="0" borderId="34" xfId="7" applyNumberFormat="1" applyFont="1" applyFill="1" applyBorder="1" applyAlignment="1" applyProtection="1">
      <alignment horizontal="right"/>
    </xf>
    <xf numFmtId="0" fontId="28" fillId="0" borderId="0" xfId="7" applyFont="1" applyFill="1" applyAlignment="1" applyProtection="1">
      <alignment horizontal="left" vertical="center"/>
    </xf>
    <xf numFmtId="0" fontId="49" fillId="0" borderId="0" xfId="7" applyFont="1" applyFill="1" applyAlignment="1" applyProtection="1">
      <alignment horizontal="left" vertical="center"/>
    </xf>
    <xf numFmtId="37" fontId="75" fillId="0" borderId="34" xfId="7" applyNumberFormat="1" applyFont="1" applyFill="1" applyBorder="1" applyAlignment="1" applyProtection="1">
      <alignment horizontal="right"/>
    </xf>
    <xf numFmtId="49" fontId="75" fillId="0" borderId="34" xfId="7" applyNumberFormat="1" applyFont="1" applyFill="1" applyBorder="1" applyAlignment="1" applyProtection="1">
      <alignment horizontal="left" wrapText="1"/>
    </xf>
    <xf numFmtId="0" fontId="75" fillId="0" borderId="34" xfId="7" applyFont="1" applyFill="1" applyBorder="1" applyAlignment="1" applyProtection="1">
      <alignment horizontal="left" wrapText="1"/>
    </xf>
    <xf numFmtId="0" fontId="17" fillId="0" borderId="34" xfId="7" applyFont="1" applyBorder="1" applyAlignment="1" applyProtection="1">
      <alignment horizontal="left" vertical="center" wrapText="1"/>
    </xf>
    <xf numFmtId="2" fontId="42" fillId="0" borderId="34" xfId="7" applyNumberFormat="1" applyFont="1" applyFill="1" applyBorder="1" applyAlignment="1" applyProtection="1">
      <alignment horizontal="right"/>
    </xf>
    <xf numFmtId="4" fontId="75" fillId="0" borderId="34" xfId="7" applyNumberFormat="1" applyFont="1" applyFill="1" applyBorder="1" applyAlignment="1" applyProtection="1">
      <alignment horizontal="right"/>
    </xf>
    <xf numFmtId="39" fontId="75" fillId="0" borderId="34" xfId="7" applyNumberFormat="1" applyFont="1" applyFill="1" applyBorder="1" applyAlignment="1" applyProtection="1">
      <alignment horizontal="center"/>
    </xf>
    <xf numFmtId="39" fontId="39" fillId="0" borderId="0" xfId="7" applyNumberFormat="1" applyFont="1" applyFill="1" applyAlignment="1" applyProtection="1">
      <alignment horizontal="left" vertical="center"/>
    </xf>
    <xf numFmtId="0" fontId="17" fillId="0" borderId="34" xfId="7" applyFont="1" applyFill="1" applyBorder="1" applyAlignment="1" applyProtection="1">
      <alignment horizontal="left" vertical="center" wrapText="1"/>
    </xf>
    <xf numFmtId="39" fontId="23" fillId="0" borderId="0" xfId="7" applyNumberFormat="1" applyFont="1" applyFill="1" applyAlignment="1" applyProtection="1">
      <alignment horizontal="left" vertical="center"/>
    </xf>
    <xf numFmtId="37" fontId="75" fillId="0" borderId="34" xfId="7" applyNumberFormat="1" applyFont="1" applyBorder="1" applyAlignment="1" applyProtection="1">
      <alignment horizontal="right"/>
    </xf>
    <xf numFmtId="49" fontId="75" fillId="0" borderId="34" xfId="7" applyNumberFormat="1" applyFont="1" applyBorder="1" applyAlignment="1" applyProtection="1">
      <alignment horizontal="left" wrapText="1"/>
    </xf>
    <xf numFmtId="0" fontId="75" fillId="0" borderId="34" xfId="7" applyFont="1" applyBorder="1" applyAlignment="1" applyProtection="1">
      <alignment horizontal="left" wrapText="1"/>
    </xf>
    <xf numFmtId="0" fontId="17" fillId="0" borderId="34" xfId="7" applyFont="1" applyBorder="1" applyAlignment="1" applyProtection="1">
      <alignment horizontal="left" wrapText="1"/>
    </xf>
    <xf numFmtId="2" fontId="42" fillId="0" borderId="34" xfId="7" applyNumberFormat="1" applyFont="1" applyBorder="1" applyAlignment="1" applyProtection="1">
      <alignment horizontal="right"/>
    </xf>
    <xf numFmtId="4" fontId="75" fillId="0" borderId="34" xfId="7" applyNumberFormat="1" applyFont="1" applyBorder="1" applyAlignment="1" applyProtection="1">
      <alignment horizontal="right"/>
    </xf>
    <xf numFmtId="0" fontId="83" fillId="0" borderId="0" xfId="7" applyFont="1" applyFill="1" applyAlignment="1" applyProtection="1">
      <alignment horizontal="left" vertical="center"/>
    </xf>
    <xf numFmtId="2" fontId="98" fillId="0" borderId="0" xfId="7" applyNumberFormat="1" applyFont="1" applyFill="1" applyAlignment="1" applyProtection="1">
      <alignment horizontal="left" vertical="top"/>
    </xf>
    <xf numFmtId="0" fontId="19" fillId="0" borderId="0" xfId="7" applyFill="1" applyAlignment="1" applyProtection="1">
      <alignment horizontal="left" vertical="center"/>
    </xf>
    <xf numFmtId="0" fontId="79" fillId="0" borderId="34" xfId="7" applyFont="1" applyFill="1" applyBorder="1" applyAlignment="1" applyProtection="1">
      <alignment horizontal="right" vertical="center"/>
    </xf>
    <xf numFmtId="0" fontId="78" fillId="0" borderId="0" xfId="7" applyFont="1" applyFill="1" applyAlignment="1" applyProtection="1">
      <alignment horizontal="left" vertical="center"/>
    </xf>
    <xf numFmtId="1" fontId="11" fillId="0" borderId="34" xfId="7" applyNumberFormat="1" applyFont="1" applyFill="1" applyBorder="1" applyAlignment="1" applyProtection="1">
      <alignment horizontal="right" wrapText="1"/>
    </xf>
    <xf numFmtId="39" fontId="11" fillId="0" borderId="34" xfId="15" applyNumberFormat="1" applyFont="1" applyFill="1" applyBorder="1" applyAlignment="1" applyProtection="1">
      <alignment horizontal="center"/>
    </xf>
    <xf numFmtId="39" fontId="57" fillId="0" borderId="40" xfId="7" applyNumberFormat="1" applyFont="1" applyFill="1" applyBorder="1" applyAlignment="1" applyProtection="1">
      <alignment horizontal="left" vertical="center"/>
    </xf>
    <xf numFmtId="0" fontId="32" fillId="0" borderId="0" xfId="7" applyFont="1" applyFill="1" applyAlignment="1" applyProtection="1">
      <alignment horizontal="left" vertical="center" textRotation="90" wrapText="1"/>
    </xf>
    <xf numFmtId="1" fontId="11" fillId="0" borderId="34" xfId="7" applyNumberFormat="1" applyFont="1" applyFill="1" applyBorder="1" applyAlignment="1" applyProtection="1">
      <alignment horizontal="right"/>
    </xf>
    <xf numFmtId="0" fontId="17" fillId="0" borderId="34" xfId="0" applyFont="1" applyFill="1" applyBorder="1" applyAlignment="1" applyProtection="1">
      <alignment horizontal="left" vertical="center" wrapText="1"/>
    </xf>
    <xf numFmtId="39" fontId="11" fillId="0" borderId="34" xfId="7" applyNumberFormat="1" applyFont="1" applyFill="1" applyBorder="1" applyAlignment="1" applyProtection="1">
      <alignment horizontal="right"/>
    </xf>
    <xf numFmtId="1" fontId="11" fillId="0" borderId="34" xfId="15" applyNumberFormat="1" applyFont="1" applyFill="1" applyBorder="1" applyAlignment="1" applyProtection="1">
      <alignment horizontal="right"/>
    </xf>
    <xf numFmtId="49" fontId="11" fillId="0" borderId="34" xfId="15" applyNumberFormat="1" applyFont="1" applyFill="1" applyBorder="1" applyAlignment="1" applyProtection="1">
      <alignment horizontal="left" wrapText="1"/>
    </xf>
    <xf numFmtId="0" fontId="11" fillId="0" borderId="34" xfId="34" applyFont="1" applyFill="1" applyBorder="1" applyAlignment="1" applyProtection="1">
      <alignment horizontal="left"/>
    </xf>
    <xf numFmtId="0" fontId="34" fillId="0" borderId="34" xfId="15" applyFont="1" applyFill="1" applyBorder="1" applyAlignment="1" applyProtection="1">
      <alignment horizontal="left" wrapText="1"/>
    </xf>
    <xf numFmtId="0" fontId="11" fillId="0" borderId="34" xfId="15" applyFont="1" applyFill="1" applyBorder="1" applyAlignment="1" applyProtection="1">
      <alignment horizontal="left" wrapText="1"/>
    </xf>
    <xf numFmtId="2" fontId="17" fillId="0" borderId="34" xfId="15" applyNumberFormat="1" applyFont="1" applyFill="1" applyBorder="1" applyAlignment="1" applyProtection="1">
      <alignment horizontal="right" wrapText="1"/>
    </xf>
    <xf numFmtId="4" fontId="11" fillId="0" borderId="34" xfId="15" applyNumberFormat="1" applyFont="1" applyFill="1" applyBorder="1" applyAlignment="1" applyProtection="1">
      <alignment horizontal="right"/>
    </xf>
    <xf numFmtId="0" fontId="23" fillId="0" borderId="40" xfId="15" applyFont="1" applyFill="1" applyBorder="1" applyAlignment="1" applyProtection="1">
      <alignment horizontal="left" vertical="center"/>
    </xf>
    <xf numFmtId="0" fontId="24" fillId="0" borderId="0" xfId="15" applyFont="1" applyFill="1" applyAlignment="1" applyProtection="1">
      <alignment vertical="top"/>
    </xf>
    <xf numFmtId="0" fontId="24" fillId="0" borderId="0" xfId="15" applyFont="1" applyAlignment="1" applyProtection="1">
      <alignment vertical="top"/>
    </xf>
    <xf numFmtId="0" fontId="31" fillId="0" borderId="0" xfId="7" applyFont="1" applyFill="1" applyAlignment="1" applyProtection="1">
      <alignment horizontal="left" vertical="center"/>
    </xf>
    <xf numFmtId="37" fontId="11" fillId="0" borderId="34" xfId="13" applyNumberFormat="1" applyFont="1" applyFill="1" applyBorder="1" applyAlignment="1" applyProtection="1">
      <alignment horizontal="right"/>
    </xf>
    <xf numFmtId="0" fontId="11" fillId="0" borderId="34" xfId="13" applyFont="1" applyFill="1" applyBorder="1" applyAlignment="1" applyProtection="1">
      <alignment horizontal="left" wrapText="1"/>
    </xf>
    <xf numFmtId="2" fontId="11" fillId="0" borderId="34" xfId="13" applyNumberFormat="1" applyFont="1" applyFill="1" applyBorder="1" applyAlignment="1" applyProtection="1">
      <alignment horizontal="right"/>
    </xf>
    <xf numFmtId="4" fontId="11" fillId="5" borderId="34" xfId="13" applyNumberFormat="1" applyFont="1" applyFill="1" applyBorder="1" applyAlignment="1" applyProtection="1">
      <alignment horizontal="right"/>
    </xf>
    <xf numFmtId="0" fontId="52" fillId="0" borderId="0" xfId="24" applyFont="1" applyFill="1" applyAlignment="1" applyProtection="1">
      <alignment vertical="top"/>
    </xf>
    <xf numFmtId="2" fontId="17" fillId="0" borderId="34" xfId="24" applyNumberFormat="1" applyFont="1" applyFill="1" applyBorder="1" applyAlignment="1" applyProtection="1">
      <alignment horizontal="left"/>
    </xf>
    <xf numFmtId="4" fontId="11" fillId="5" borderId="34" xfId="24" applyNumberFormat="1" applyFont="1" applyFill="1" applyBorder="1" applyAlignment="1" applyProtection="1">
      <alignment horizontal="right"/>
    </xf>
    <xf numFmtId="0" fontId="19" fillId="0" borderId="34" xfId="24" applyFont="1" applyFill="1" applyBorder="1" applyAlignment="1" applyProtection="1">
      <alignment vertical="top"/>
    </xf>
    <xf numFmtId="0" fontId="27" fillId="0" borderId="0" xfId="24" applyFont="1" applyFill="1" applyAlignment="1" applyProtection="1">
      <alignment horizontal="left" vertical="top"/>
    </xf>
    <xf numFmtId="37" fontId="34" fillId="0" borderId="34" xfId="13" applyNumberFormat="1" applyFont="1" applyFill="1" applyBorder="1" applyAlignment="1" applyProtection="1">
      <alignment horizontal="right"/>
    </xf>
    <xf numFmtId="49" fontId="25" fillId="0" borderId="34" xfId="13" applyNumberFormat="1" applyFont="1" applyFill="1" applyBorder="1" applyAlignment="1" applyProtection="1">
      <alignment horizontal="left" wrapText="1"/>
    </xf>
    <xf numFmtId="0" fontId="34" fillId="0" borderId="34" xfId="5" applyFont="1" applyFill="1" applyBorder="1" applyAlignment="1" applyProtection="1">
      <alignment horizontal="left" wrapText="1"/>
    </xf>
    <xf numFmtId="0" fontId="34" fillId="0" borderId="34" xfId="13" applyFont="1" applyFill="1" applyBorder="1" applyAlignment="1" applyProtection="1">
      <alignment horizontal="left" wrapText="1"/>
    </xf>
    <xf numFmtId="2" fontId="17" fillId="0" borderId="34" xfId="13" applyNumberFormat="1" applyFont="1" applyFill="1" applyBorder="1" applyAlignment="1" applyProtection="1">
      <alignment horizontal="right" wrapText="1"/>
    </xf>
    <xf numFmtId="4" fontId="17" fillId="0" borderId="34" xfId="13" applyNumberFormat="1" applyFont="1" applyFill="1" applyBorder="1" applyAlignment="1" applyProtection="1">
      <alignment horizontal="right"/>
    </xf>
    <xf numFmtId="39" fontId="34" fillId="0" borderId="34" xfId="7" applyNumberFormat="1" applyFont="1" applyFill="1" applyBorder="1" applyAlignment="1" applyProtection="1">
      <alignment horizontal="center"/>
    </xf>
    <xf numFmtId="0" fontId="0" fillId="0" borderId="0" xfId="0" applyFill="1" applyAlignment="1" applyProtection="1">
      <alignment vertical="center"/>
    </xf>
    <xf numFmtId="0" fontId="19" fillId="0" borderId="0" xfId="8" applyFill="1" applyAlignment="1" applyProtection="1">
      <alignment horizontal="left" vertical="center"/>
    </xf>
    <xf numFmtId="0" fontId="0" fillId="0" borderId="0" xfId="0" applyFill="1" applyAlignment="1" applyProtection="1">
      <alignment horizontal="left" vertical="top"/>
    </xf>
    <xf numFmtId="0" fontId="1" fillId="0" borderId="0" xfId="0" applyFont="1" applyFill="1" applyAlignment="1" applyProtection="1">
      <alignment vertical="center"/>
    </xf>
    <xf numFmtId="37" fontId="25" fillId="0" borderId="34" xfId="13" applyNumberFormat="1" applyFont="1" applyFill="1" applyBorder="1" applyAlignment="1" applyProtection="1">
      <alignment horizontal="right"/>
    </xf>
    <xf numFmtId="0" fontId="25" fillId="0" borderId="34" xfId="13" applyFont="1" applyFill="1" applyBorder="1" applyAlignment="1" applyProtection="1">
      <alignment horizontal="left" wrapText="1"/>
    </xf>
    <xf numFmtId="0" fontId="17" fillId="0" borderId="34" xfId="13" applyFont="1" applyFill="1" applyBorder="1" applyAlignment="1" applyProtection="1">
      <alignment horizontal="left" wrapText="1"/>
    </xf>
    <xf numFmtId="4" fontId="25" fillId="5" borderId="34" xfId="13" applyNumberFormat="1" applyFont="1" applyFill="1" applyBorder="1" applyAlignment="1" applyProtection="1">
      <alignment horizontal="right"/>
    </xf>
    <xf numFmtId="0" fontId="19" fillId="0" borderId="34" xfId="13" applyFill="1" applyBorder="1" applyAlignment="1" applyProtection="1">
      <alignment horizontal="left" vertical="top"/>
    </xf>
    <xf numFmtId="0" fontId="0" fillId="0" borderId="0" xfId="0" applyFill="1" applyAlignment="1" applyProtection="1">
      <alignment vertical="top"/>
    </xf>
    <xf numFmtId="2" fontId="0" fillId="0" borderId="0" xfId="0" applyNumberFormat="1" applyFill="1" applyAlignment="1" applyProtection="1">
      <alignment horizontal="left" vertical="top"/>
    </xf>
    <xf numFmtId="0" fontId="1" fillId="0" borderId="0" xfId="0" applyFont="1" applyFill="1" applyAlignment="1" applyProtection="1">
      <alignment horizontal="left" vertical="top"/>
    </xf>
    <xf numFmtId="0" fontId="33" fillId="0" borderId="0" xfId="24" applyFont="1" applyFill="1" applyAlignment="1" applyProtection="1">
      <alignment horizontal="left" vertical="top"/>
    </xf>
    <xf numFmtId="0" fontId="108" fillId="0" borderId="0" xfId="0" applyFont="1" applyFill="1" applyAlignment="1" applyProtection="1">
      <alignment horizontal="left" vertical="center"/>
    </xf>
    <xf numFmtId="0" fontId="27" fillId="0" borderId="0" xfId="0" applyFont="1" applyFill="1" applyAlignment="1" applyProtection="1">
      <alignment horizontal="left" vertical="top"/>
    </xf>
    <xf numFmtId="0" fontId="77" fillId="0" borderId="0" xfId="24" applyFill="1" applyAlignment="1" applyProtection="1">
      <alignment vertical="top"/>
    </xf>
    <xf numFmtId="2" fontId="77" fillId="0" borderId="0" xfId="24" applyNumberFormat="1" applyFill="1" applyAlignment="1" applyProtection="1">
      <alignment horizontal="left" vertical="top"/>
    </xf>
    <xf numFmtId="37" fontId="21" fillId="0" borderId="34" xfId="7" applyNumberFormat="1" applyFont="1" applyBorder="1" applyAlignment="1" applyProtection="1">
      <alignment horizontal="right"/>
    </xf>
    <xf numFmtId="0" fontId="21" fillId="0" borderId="34" xfId="7" applyFont="1" applyBorder="1" applyAlignment="1" applyProtection="1">
      <alignment horizontal="left" wrapText="1"/>
    </xf>
    <xf numFmtId="2" fontId="21" fillId="0" borderId="34" xfId="7" applyNumberFormat="1" applyFont="1" applyBorder="1" applyAlignment="1" applyProtection="1">
      <alignment horizontal="right"/>
    </xf>
    <xf numFmtId="4" fontId="21" fillId="0" borderId="34" xfId="7" applyNumberFormat="1" applyFont="1" applyBorder="1" applyAlignment="1" applyProtection="1">
      <alignment horizontal="right"/>
    </xf>
    <xf numFmtId="0" fontId="19" fillId="0" borderId="34" xfId="7" applyFill="1" applyBorder="1" applyAlignment="1" applyProtection="1">
      <alignment horizontal="left" vertical="top"/>
    </xf>
    <xf numFmtId="0" fontId="52" fillId="0" borderId="0" xfId="24" applyFont="1" applyFill="1" applyAlignment="1" applyProtection="1">
      <alignment vertical="center"/>
    </xf>
    <xf numFmtId="49" fontId="11" fillId="0" borderId="34" xfId="7" applyNumberFormat="1" applyFont="1" applyFill="1" applyBorder="1" applyAlignment="1" applyProtection="1">
      <alignment horizontal="right" wrapText="1"/>
    </xf>
    <xf numFmtId="37" fontId="29" fillId="0" borderId="0" xfId="7" applyNumberFormat="1" applyFont="1" applyFill="1" applyAlignment="1" applyProtection="1">
      <alignment horizontal="right"/>
    </xf>
    <xf numFmtId="0" fontId="29" fillId="0" borderId="0" xfId="7" applyFont="1" applyFill="1" applyAlignment="1" applyProtection="1">
      <alignment horizontal="left" wrapText="1"/>
    </xf>
    <xf numFmtId="165" fontId="29" fillId="0" borderId="0" xfId="7" applyNumberFormat="1" applyFont="1" applyFill="1" applyAlignment="1" applyProtection="1">
      <alignment horizontal="right"/>
    </xf>
    <xf numFmtId="39" fontId="29" fillId="0" borderId="0" xfId="7" applyNumberFormat="1" applyFont="1" applyFill="1" applyAlignment="1" applyProtection="1">
      <alignment horizontal="right"/>
    </xf>
    <xf numFmtId="37" fontId="21" fillId="0" borderId="36" xfId="7" applyNumberFormat="1" applyFont="1" applyFill="1" applyBorder="1" applyAlignment="1" applyProtection="1">
      <alignment horizontal="center"/>
    </xf>
    <xf numFmtId="0" fontId="27" fillId="0" borderId="37" xfId="7" applyFont="1" applyFill="1" applyBorder="1" applyAlignment="1" applyProtection="1">
      <alignment horizontal="center"/>
    </xf>
    <xf numFmtId="0" fontId="27" fillId="0" borderId="38" xfId="7" applyFont="1" applyFill="1" applyBorder="1" applyAlignment="1" applyProtection="1">
      <alignment horizontal="center"/>
    </xf>
    <xf numFmtId="0" fontId="21" fillId="0" borderId="36" xfId="7" applyFont="1" applyFill="1" applyBorder="1" applyAlignment="1" applyProtection="1">
      <alignment horizontal="left"/>
    </xf>
    <xf numFmtId="0" fontId="25" fillId="0" borderId="37" xfId="7" applyFont="1" applyFill="1" applyBorder="1" applyAlignment="1" applyProtection="1">
      <alignment horizontal="center"/>
    </xf>
    <xf numFmtId="165" fontId="25" fillId="0" borderId="37" xfId="7" applyNumberFormat="1" applyFont="1" applyFill="1" applyBorder="1" applyAlignment="1" applyProtection="1">
      <alignment horizontal="right"/>
    </xf>
    <xf numFmtId="39" fontId="25" fillId="0" borderId="37" xfId="7" applyNumberFormat="1" applyFont="1" applyFill="1" applyBorder="1" applyAlignment="1" applyProtection="1">
      <alignment horizontal="right"/>
    </xf>
    <xf numFmtId="39" fontId="21" fillId="0" borderId="33" xfId="7" applyNumberFormat="1" applyFont="1" applyFill="1" applyBorder="1" applyAlignment="1" applyProtection="1">
      <alignment horizontal="right"/>
    </xf>
    <xf numFmtId="37" fontId="25" fillId="0" borderId="0" xfId="7" applyNumberFormat="1" applyFont="1" applyFill="1" applyBorder="1" applyAlignment="1" applyProtection="1">
      <alignment horizontal="right"/>
    </xf>
    <xf numFmtId="0" fontId="25" fillId="0" borderId="0" xfId="7" applyFont="1" applyFill="1" applyBorder="1" applyAlignment="1" applyProtection="1">
      <alignment horizontal="left" wrapText="1"/>
    </xf>
    <xf numFmtId="0" fontId="11" fillId="0" borderId="0" xfId="7" applyFont="1" applyFill="1" applyBorder="1" applyAlignment="1" applyProtection="1">
      <alignment horizontal="left" wrapText="1"/>
    </xf>
    <xf numFmtId="0" fontId="25" fillId="0" borderId="0" xfId="7" applyFont="1" applyFill="1" applyBorder="1" applyAlignment="1" applyProtection="1">
      <alignment horizontal="center" wrapText="1"/>
    </xf>
    <xf numFmtId="165" fontId="25" fillId="0" borderId="0" xfId="7" applyNumberFormat="1" applyFont="1" applyFill="1" applyBorder="1" applyAlignment="1" applyProtection="1">
      <alignment horizontal="right"/>
    </xf>
    <xf numFmtId="39" fontId="25" fillId="0" borderId="0" xfId="7" applyNumberFormat="1" applyFont="1" applyFill="1" applyBorder="1" applyAlignment="1" applyProtection="1">
      <alignment horizontal="right"/>
    </xf>
    <xf numFmtId="39" fontId="11" fillId="0" borderId="0" xfId="7" applyNumberFormat="1" applyFont="1" applyFill="1" applyBorder="1" applyAlignment="1" applyProtection="1">
      <alignment horizontal="right"/>
    </xf>
    <xf numFmtId="0" fontId="19" fillId="0" borderId="0" xfId="7" applyFill="1" applyAlignment="1" applyProtection="1">
      <alignment vertical="center" wrapText="1"/>
    </xf>
    <xf numFmtId="0" fontId="19" fillId="0" borderId="0" xfId="7" applyFont="1" applyFill="1" applyAlignment="1" applyProtection="1">
      <alignment vertical="center" wrapText="1"/>
    </xf>
    <xf numFmtId="0" fontId="19" fillId="0" borderId="0" xfId="7" applyFill="1" applyAlignment="1" applyProtection="1">
      <alignment vertical="top"/>
    </xf>
    <xf numFmtId="0" fontId="19" fillId="0" borderId="0" xfId="7" applyAlignment="1" applyProtection="1">
      <alignment vertical="top"/>
    </xf>
    <xf numFmtId="0" fontId="54" fillId="0" borderId="0" xfId="6" applyFont="1" applyFill="1" applyAlignment="1" applyProtection="1">
      <alignment horizontal="left" vertical="center" wrapText="1"/>
    </xf>
    <xf numFmtId="37" fontId="19" fillId="0" borderId="0" xfId="7" applyNumberFormat="1" applyFill="1" applyAlignment="1" applyProtection="1">
      <alignment horizontal="right" vertical="top"/>
    </xf>
    <xf numFmtId="0" fontId="19" fillId="0" borderId="0" xfId="7" applyFill="1" applyAlignment="1" applyProtection="1">
      <alignment horizontal="left" vertical="top" wrapText="1"/>
    </xf>
    <xf numFmtId="165" fontId="19" fillId="0" borderId="0" xfId="7" applyNumberFormat="1" applyFill="1" applyAlignment="1" applyProtection="1">
      <alignment horizontal="right" vertical="top"/>
    </xf>
    <xf numFmtId="39" fontId="19" fillId="0" borderId="0" xfId="7" applyNumberFormat="1" applyFill="1" applyAlignment="1" applyProtection="1">
      <alignment horizontal="right" vertical="top"/>
    </xf>
    <xf numFmtId="0" fontId="19" fillId="0" borderId="0" xfId="7" applyFont="1" applyAlignment="1" applyProtection="1">
      <alignment horizontal="left" vertical="top"/>
    </xf>
    <xf numFmtId="4" fontId="11" fillId="0" borderId="34" xfId="7" applyNumberFormat="1" applyFont="1" applyFill="1" applyBorder="1" applyAlignment="1" applyProtection="1">
      <alignment horizontal="right"/>
      <protection locked="0"/>
    </xf>
    <xf numFmtId="0" fontId="20" fillId="0" borderId="0" xfId="16" applyFont="1" applyAlignment="1" applyProtection="1">
      <alignment horizontal="left"/>
    </xf>
    <xf numFmtId="0" fontId="1" fillId="0" borderId="0" xfId="5" applyFill="1" applyProtection="1"/>
    <xf numFmtId="0" fontId="1" fillId="0" borderId="0" xfId="5" applyProtection="1"/>
    <xf numFmtId="0" fontId="1" fillId="0" borderId="0" xfId="5" applyAlignment="1" applyProtection="1">
      <alignment vertical="center"/>
    </xf>
    <xf numFmtId="0" fontId="1" fillId="0" borderId="0" xfId="5" applyAlignment="1" applyProtection="1">
      <alignment horizontal="left" vertical="top"/>
    </xf>
    <xf numFmtId="0" fontId="1" fillId="0" borderId="0" xfId="5" applyFill="1" applyAlignment="1" applyProtection="1">
      <alignment horizontal="left" vertical="top"/>
    </xf>
    <xf numFmtId="0" fontId="11" fillId="0" borderId="0" xfId="5" applyFont="1" applyAlignment="1" applyProtection="1">
      <alignment horizontal="left"/>
    </xf>
    <xf numFmtId="0" fontId="20" fillId="0" borderId="0" xfId="5" applyFont="1" applyAlignment="1" applyProtection="1">
      <alignment horizontal="left"/>
    </xf>
    <xf numFmtId="0" fontId="19" fillId="0" borderId="0" xfId="7" applyAlignment="1" applyProtection="1">
      <alignment horizontal="left" wrapText="1"/>
    </xf>
    <xf numFmtId="0" fontId="56" fillId="0" borderId="0" xfId="11" applyFont="1" applyFill="1" applyAlignment="1" applyProtection="1">
      <alignment horizontal="left" vertical="top"/>
    </xf>
    <xf numFmtId="0" fontId="33" fillId="0" borderId="0" xfId="5" applyFont="1" applyAlignment="1" applyProtection="1">
      <alignment horizontal="left"/>
    </xf>
    <xf numFmtId="0" fontId="20" fillId="0" borderId="0" xfId="5" applyFont="1" applyAlignment="1" applyProtection="1">
      <alignment horizontal="center"/>
    </xf>
    <xf numFmtId="0" fontId="55" fillId="0" borderId="0" xfId="5" applyFont="1" applyAlignment="1" applyProtection="1">
      <alignment horizontal="right" vertical="top"/>
    </xf>
    <xf numFmtId="0" fontId="22" fillId="0" borderId="33" xfId="5" applyFont="1" applyBorder="1" applyAlignment="1" applyProtection="1">
      <alignment horizontal="center" vertical="center" wrapText="1"/>
    </xf>
    <xf numFmtId="0" fontId="22" fillId="0" borderId="36" xfId="5" applyFont="1" applyBorder="1" applyAlignment="1" applyProtection="1">
      <alignment horizontal="center" vertical="center" wrapText="1"/>
    </xf>
    <xf numFmtId="0" fontId="22" fillId="0" borderId="15" xfId="5" applyFont="1" applyBorder="1" applyAlignment="1" applyProtection="1">
      <alignment horizontal="center" vertical="center" wrapText="1"/>
    </xf>
    <xf numFmtId="37" fontId="21" fillId="0" borderId="0" xfId="5" applyNumberFormat="1" applyFont="1" applyAlignment="1" applyProtection="1">
      <alignment horizontal="right"/>
    </xf>
    <xf numFmtId="0" fontId="21" fillId="0" borderId="0" xfId="5" applyFont="1" applyAlignment="1" applyProtection="1">
      <alignment horizontal="left" wrapText="1"/>
    </xf>
    <xf numFmtId="165" fontId="21" fillId="0" borderId="0" xfId="5" applyNumberFormat="1" applyFont="1" applyAlignment="1" applyProtection="1">
      <alignment horizontal="right"/>
    </xf>
    <xf numFmtId="4" fontId="21" fillId="0" borderId="0" xfId="5" applyNumberFormat="1" applyFont="1" applyAlignment="1" applyProtection="1">
      <alignment horizontal="right"/>
    </xf>
    <xf numFmtId="37" fontId="21" fillId="5" borderId="34" xfId="5" applyNumberFormat="1" applyFont="1" applyFill="1" applyBorder="1" applyAlignment="1" applyProtection="1">
      <alignment horizontal="right"/>
    </xf>
    <xf numFmtId="0" fontId="21" fillId="5" borderId="34" xfId="5" applyFont="1" applyFill="1" applyBorder="1" applyAlignment="1" applyProtection="1">
      <alignment horizontal="left" wrapText="1"/>
    </xf>
    <xf numFmtId="0" fontId="21" fillId="5" borderId="34" xfId="5" applyFont="1" applyFill="1" applyBorder="1" applyAlignment="1" applyProtection="1">
      <alignment horizontal="center" wrapText="1"/>
    </xf>
    <xf numFmtId="165" fontId="21" fillId="5" borderId="34" xfId="5" applyNumberFormat="1" applyFont="1" applyFill="1" applyBorder="1" applyAlignment="1" applyProtection="1">
      <alignment horizontal="right"/>
    </xf>
    <xf numFmtId="4" fontId="21" fillId="5" borderId="34" xfId="5" applyNumberFormat="1" applyFont="1" applyFill="1" applyBorder="1" applyAlignment="1" applyProtection="1">
      <alignment horizontal="right"/>
    </xf>
    <xf numFmtId="0" fontId="19" fillId="5" borderId="34" xfId="5" applyFont="1" applyFill="1" applyBorder="1" applyAlignment="1" applyProtection="1">
      <alignment horizontal="left" vertical="top"/>
    </xf>
    <xf numFmtId="37" fontId="11" fillId="0" borderId="34" xfId="5" applyNumberFormat="1" applyFont="1" applyFill="1" applyBorder="1" applyAlignment="1" applyProtection="1">
      <alignment horizontal="right"/>
    </xf>
    <xf numFmtId="2" fontId="11" fillId="0" borderId="34" xfId="5" applyNumberFormat="1" applyFont="1" applyFill="1" applyBorder="1" applyAlignment="1" applyProtection="1">
      <alignment horizontal="right" wrapText="1"/>
    </xf>
    <xf numFmtId="4" fontId="11" fillId="0" borderId="34" xfId="5" applyNumberFormat="1" applyFont="1" applyFill="1" applyBorder="1" applyAlignment="1" applyProtection="1">
      <alignment horizontal="right"/>
    </xf>
    <xf numFmtId="39" fontId="11" fillId="0" borderId="34" xfId="5" applyNumberFormat="1" applyFont="1" applyFill="1" applyBorder="1" applyAlignment="1" applyProtection="1">
      <alignment horizontal="center"/>
    </xf>
    <xf numFmtId="2" fontId="11" fillId="0" borderId="34" xfId="5" applyNumberFormat="1" applyFont="1" applyFill="1" applyBorder="1" applyAlignment="1" applyProtection="1">
      <alignment horizontal="right"/>
    </xf>
    <xf numFmtId="37" fontId="11" fillId="0" borderId="34" xfId="0" applyNumberFormat="1" applyFont="1" applyFill="1" applyBorder="1" applyAlignment="1" applyProtection="1">
      <alignment horizontal="right"/>
    </xf>
    <xf numFmtId="49" fontId="11" fillId="0" borderId="34" xfId="0" applyNumberFormat="1" applyFont="1" applyFill="1" applyBorder="1" applyAlignment="1" applyProtection="1">
      <alignment horizontal="left" wrapText="1"/>
    </xf>
    <xf numFmtId="0" fontId="11" fillId="0" borderId="34" xfId="0" applyFont="1" applyFill="1" applyBorder="1" applyAlignment="1" applyProtection="1">
      <alignment horizontal="left" wrapText="1"/>
    </xf>
    <xf numFmtId="2" fontId="11" fillId="0" borderId="34" xfId="0" applyNumberFormat="1" applyFont="1" applyFill="1" applyBorder="1" applyAlignment="1" applyProtection="1">
      <alignment horizontal="right" wrapText="1"/>
    </xf>
    <xf numFmtId="4" fontId="11" fillId="0" borderId="34" xfId="0" applyNumberFormat="1" applyFont="1" applyFill="1" applyBorder="1" applyAlignment="1" applyProtection="1">
      <alignment horizontal="right"/>
    </xf>
    <xf numFmtId="0" fontId="23" fillId="0" borderId="0" xfId="0" applyFont="1" applyFill="1" applyAlignment="1" applyProtection="1">
      <alignment horizontal="left" vertical="center"/>
    </xf>
    <xf numFmtId="0" fontId="0" fillId="0" borderId="0" xfId="0" applyAlignment="1" applyProtection="1">
      <alignment horizontal="left" vertical="top"/>
    </xf>
    <xf numFmtId="0" fontId="17" fillId="0" borderId="34" xfId="0" applyFont="1" applyFill="1" applyBorder="1" applyAlignment="1" applyProtection="1">
      <alignment horizontal="left" wrapText="1"/>
    </xf>
    <xf numFmtId="2" fontId="17" fillId="0" borderId="34" xfId="0" applyNumberFormat="1" applyFont="1" applyFill="1" applyBorder="1" applyAlignment="1" applyProtection="1">
      <alignment horizontal="right"/>
    </xf>
    <xf numFmtId="4" fontId="58" fillId="0" borderId="34" xfId="0" applyNumberFormat="1" applyFont="1" applyFill="1" applyBorder="1" applyAlignment="1" applyProtection="1">
      <alignment horizontal="right"/>
    </xf>
    <xf numFmtId="39" fontId="11" fillId="0" borderId="34" xfId="0" applyNumberFormat="1" applyFont="1" applyFill="1" applyBorder="1" applyAlignment="1" applyProtection="1">
      <alignment horizontal="center"/>
    </xf>
    <xf numFmtId="0" fontId="40" fillId="0" borderId="0" xfId="0" applyFont="1" applyFill="1" applyAlignment="1" applyProtection="1">
      <alignment horizontal="left" vertical="center"/>
    </xf>
    <xf numFmtId="0" fontId="17" fillId="0" borderId="34" xfId="12" applyFont="1" applyFill="1" applyBorder="1" applyAlignment="1" applyProtection="1">
      <alignment horizontal="left" wrapText="1"/>
    </xf>
    <xf numFmtId="2" fontId="17" fillId="0" borderId="34" xfId="5" applyNumberFormat="1" applyFont="1" applyFill="1" applyBorder="1" applyAlignment="1" applyProtection="1">
      <alignment horizontal="right"/>
    </xf>
    <xf numFmtId="39" fontId="11" fillId="0" borderId="34" xfId="13" applyNumberFormat="1" applyFont="1" applyFill="1" applyBorder="1" applyAlignment="1" applyProtection="1">
      <alignment horizontal="center"/>
    </xf>
    <xf numFmtId="0" fontId="41" fillId="0" borderId="0" xfId="0" applyFont="1" applyFill="1" applyAlignment="1" applyProtection="1">
      <alignment horizontal="left" vertical="center"/>
    </xf>
    <xf numFmtId="0" fontId="40" fillId="0" borderId="0" xfId="8" applyFont="1" applyFill="1" applyAlignment="1" applyProtection="1">
      <alignment horizontal="left" vertical="center"/>
    </xf>
    <xf numFmtId="0" fontId="33" fillId="0" borderId="0" xfId="5" applyFont="1" applyFill="1" applyAlignment="1" applyProtection="1">
      <alignment horizontal="left" vertical="center"/>
    </xf>
    <xf numFmtId="4" fontId="17" fillId="0" borderId="34" xfId="5" applyNumberFormat="1" applyFont="1" applyFill="1" applyBorder="1" applyAlignment="1" applyProtection="1">
      <alignment horizontal="right"/>
    </xf>
    <xf numFmtId="0" fontId="57" fillId="0" borderId="0" xfId="5" applyFont="1" applyFill="1" applyAlignment="1" applyProtection="1">
      <alignment horizontal="left" vertical="center"/>
    </xf>
    <xf numFmtId="1" fontId="11" fillId="0" borderId="34" xfId="35" applyNumberFormat="1" applyFont="1" applyFill="1" applyBorder="1" applyAlignment="1" applyProtection="1">
      <alignment horizontal="right"/>
    </xf>
    <xf numFmtId="49" fontId="11" fillId="0" borderId="34" xfId="35" applyNumberFormat="1" applyFont="1" applyFill="1" applyBorder="1" applyAlignment="1" applyProtection="1">
      <alignment horizontal="left" wrapText="1"/>
    </xf>
    <xf numFmtId="0" fontId="11" fillId="0" borderId="34" xfId="35" applyFont="1" applyFill="1" applyBorder="1" applyAlignment="1" applyProtection="1">
      <alignment horizontal="left" wrapText="1"/>
    </xf>
    <xf numFmtId="0" fontId="17" fillId="0" borderId="34" xfId="35" applyFont="1" applyFill="1" applyBorder="1" applyAlignment="1" applyProtection="1">
      <alignment horizontal="left" wrapText="1"/>
    </xf>
    <xf numFmtId="2" fontId="17" fillId="0" borderId="34" xfId="35" applyNumberFormat="1" applyFont="1" applyFill="1" applyBorder="1" applyAlignment="1" applyProtection="1">
      <alignment horizontal="right"/>
    </xf>
    <xf numFmtId="4" fontId="11" fillId="0" borderId="34" xfId="35" applyNumberFormat="1" applyFont="1" applyFill="1" applyBorder="1" applyAlignment="1" applyProtection="1">
      <alignment horizontal="right"/>
    </xf>
    <xf numFmtId="49" fontId="11" fillId="0" borderId="34" xfId="35" applyNumberFormat="1" applyFont="1" applyFill="1" applyBorder="1" applyAlignment="1" applyProtection="1">
      <alignment horizontal="center"/>
    </xf>
    <xf numFmtId="0" fontId="1" fillId="0" borderId="0" xfId="35" applyFill="1" applyAlignment="1" applyProtection="1">
      <alignment horizontal="right" vertical="top"/>
    </xf>
    <xf numFmtId="0" fontId="1" fillId="0" borderId="0" xfId="35" applyAlignment="1" applyProtection="1">
      <alignment horizontal="left" vertical="top"/>
    </xf>
    <xf numFmtId="49" fontId="11" fillId="0" borderId="34" xfId="0" applyNumberFormat="1" applyFont="1" applyFill="1" applyBorder="1" applyAlignment="1" applyProtection="1">
      <alignment horizontal="right" wrapText="1"/>
    </xf>
    <xf numFmtId="2" fontId="11" fillId="0" borderId="34" xfId="0" applyNumberFormat="1" applyFont="1" applyFill="1" applyBorder="1" applyAlignment="1" applyProtection="1">
      <alignment horizontal="right"/>
    </xf>
    <xf numFmtId="0" fontId="85" fillId="0" borderId="0" xfId="0" applyFont="1" applyFill="1" applyAlignment="1" applyProtection="1">
      <alignment horizontal="left" vertical="center"/>
    </xf>
    <xf numFmtId="0" fontId="40" fillId="0" borderId="0" xfId="0" applyFont="1" applyFill="1" applyAlignment="1" applyProtection="1">
      <alignment horizontal="center" vertical="center" wrapText="1"/>
    </xf>
    <xf numFmtId="0" fontId="76" fillId="0" borderId="0" xfId="0" applyFont="1" applyFill="1" applyAlignment="1" applyProtection="1">
      <alignment horizontal="left" vertical="center"/>
    </xf>
    <xf numFmtId="0" fontId="37" fillId="0" borderId="0" xfId="0" applyFont="1" applyFill="1" applyAlignment="1" applyProtection="1">
      <alignment vertical="top" wrapText="1"/>
    </xf>
    <xf numFmtId="0" fontId="17" fillId="0" borderId="0" xfId="0" applyFont="1" applyFill="1" applyAlignment="1" applyProtection="1">
      <alignment horizontal="left" wrapText="1"/>
    </xf>
    <xf numFmtId="0" fontId="11" fillId="0" borderId="0" xfId="0" applyFont="1" applyFill="1" applyAlignment="1" applyProtection="1">
      <alignment horizontal="left" wrapText="1"/>
    </xf>
    <xf numFmtId="2" fontId="11" fillId="0" borderId="0" xfId="0" applyNumberFormat="1" applyFont="1" applyFill="1" applyAlignment="1" applyProtection="1">
      <alignment horizontal="right"/>
    </xf>
    <xf numFmtId="39" fontId="11" fillId="0" borderId="0" xfId="0" applyNumberFormat="1" applyFont="1" applyFill="1" applyAlignment="1" applyProtection="1">
      <alignment horizontal="right"/>
    </xf>
    <xf numFmtId="39" fontId="11" fillId="0" borderId="0" xfId="0" applyNumberFormat="1" applyFont="1" applyFill="1" applyAlignment="1" applyProtection="1">
      <alignment horizontal="center"/>
    </xf>
    <xf numFmtId="0" fontId="32" fillId="0" borderId="0" xfId="0" applyFont="1" applyFill="1" applyAlignment="1" applyProtection="1">
      <alignment horizontal="left" vertical="center" textRotation="90" wrapText="1"/>
    </xf>
    <xf numFmtId="0" fontId="25" fillId="0" borderId="34" xfId="0" applyFont="1" applyFill="1" applyBorder="1" applyAlignment="1" applyProtection="1">
      <alignment horizontal="left" vertical="center" wrapText="1"/>
    </xf>
    <xf numFmtId="4" fontId="25" fillId="0" borderId="34" xfId="0" applyNumberFormat="1" applyFont="1" applyFill="1" applyBorder="1" applyAlignment="1" applyProtection="1">
      <alignment horizontal="right" vertical="center"/>
    </xf>
    <xf numFmtId="0" fontId="4" fillId="0" borderId="0" xfId="0" applyFont="1" applyFill="1" applyAlignment="1" applyProtection="1">
      <alignment horizontal="left" vertical="center" wrapText="1"/>
    </xf>
    <xf numFmtId="0" fontId="11" fillId="0" borderId="34" xfId="0" applyFont="1" applyFill="1" applyBorder="1" applyAlignment="1" applyProtection="1">
      <alignment wrapText="1"/>
    </xf>
    <xf numFmtId="0" fontId="61" fillId="0" borderId="0" xfId="0" applyFont="1" applyFill="1" applyAlignment="1" applyProtection="1">
      <alignment horizontal="left" vertical="center"/>
    </xf>
    <xf numFmtId="37" fontId="46" fillId="0" borderId="0" xfId="0" applyNumberFormat="1" applyFont="1" applyFill="1" applyAlignment="1" applyProtection="1">
      <alignment horizontal="right"/>
    </xf>
    <xf numFmtId="0" fontId="46" fillId="0" borderId="0" xfId="0" applyFont="1" applyFill="1" applyAlignment="1" applyProtection="1">
      <alignment horizontal="left" wrapText="1"/>
    </xf>
    <xf numFmtId="0" fontId="48" fillId="0" borderId="0" xfId="0" applyFont="1" applyFill="1" applyAlignment="1" applyProtection="1">
      <alignment horizontal="left" wrapText="1"/>
    </xf>
    <xf numFmtId="2" fontId="46" fillId="0" borderId="0" xfId="0" applyNumberFormat="1" applyFont="1" applyFill="1" applyAlignment="1" applyProtection="1">
      <alignment horizontal="right"/>
    </xf>
    <xf numFmtId="39" fontId="46" fillId="0" borderId="0" xfId="0" applyNumberFormat="1" applyFont="1" applyFill="1" applyAlignment="1" applyProtection="1">
      <alignment horizontal="right"/>
    </xf>
    <xf numFmtId="0" fontId="61" fillId="0" borderId="0" xfId="0" applyFont="1" applyFill="1" applyAlignment="1" applyProtection="1">
      <alignment horizontal="right" vertical="center"/>
    </xf>
    <xf numFmtId="0" fontId="19" fillId="0" borderId="0" xfId="0" applyFont="1" applyFill="1" applyAlignment="1" applyProtection="1">
      <alignment horizontal="left" vertical="top"/>
    </xf>
    <xf numFmtId="37" fontId="46" fillId="0" borderId="34" xfId="0" applyNumberFormat="1" applyFont="1" applyFill="1" applyBorder="1" applyAlignment="1" applyProtection="1">
      <alignment horizontal="right"/>
    </xf>
    <xf numFmtId="49" fontId="46" fillId="0" borderId="34" xfId="0" applyNumberFormat="1" applyFont="1" applyFill="1" applyBorder="1" applyAlignment="1" applyProtection="1">
      <alignment horizontal="left" wrapText="1"/>
    </xf>
    <xf numFmtId="4" fontId="46" fillId="0" borderId="34" xfId="0" applyNumberFormat="1" applyFont="1" applyFill="1" applyBorder="1" applyAlignment="1" applyProtection="1">
      <alignment horizontal="right"/>
    </xf>
    <xf numFmtId="39" fontId="46" fillId="0" borderId="34" xfId="0" applyNumberFormat="1" applyFont="1" applyFill="1" applyBorder="1" applyAlignment="1" applyProtection="1">
      <alignment horizontal="center"/>
    </xf>
    <xf numFmtId="0" fontId="46" fillId="0" borderId="34" xfId="0" applyFont="1" applyFill="1" applyBorder="1" applyProtection="1"/>
    <xf numFmtId="0" fontId="46" fillId="0" borderId="34" xfId="0" applyFont="1" applyFill="1" applyBorder="1" applyAlignment="1" applyProtection="1">
      <alignment horizontal="left" wrapText="1"/>
    </xf>
    <xf numFmtId="2" fontId="46" fillId="0" borderId="34" xfId="0" applyNumberFormat="1" applyFont="1" applyFill="1" applyBorder="1" applyAlignment="1" applyProtection="1">
      <alignment horizontal="right"/>
    </xf>
    <xf numFmtId="37" fontId="70" fillId="0" borderId="34" xfId="0" applyNumberFormat="1" applyFont="1" applyFill="1" applyBorder="1" applyAlignment="1" applyProtection="1">
      <alignment horizontal="right"/>
    </xf>
    <xf numFmtId="0" fontId="70" fillId="0" borderId="34" xfId="0" applyFont="1" applyFill="1" applyBorder="1" applyAlignment="1" applyProtection="1">
      <alignment horizontal="left" wrapText="1"/>
    </xf>
    <xf numFmtId="0" fontId="48" fillId="0" borderId="34" xfId="0" applyFont="1" applyFill="1" applyBorder="1" applyAlignment="1" applyProtection="1">
      <alignment horizontal="left" wrapText="1"/>
    </xf>
    <xf numFmtId="2" fontId="48" fillId="0" borderId="34" xfId="0" applyNumberFormat="1" applyFont="1" applyFill="1" applyBorder="1" applyAlignment="1" applyProtection="1">
      <alignment horizontal="right"/>
    </xf>
    <xf numFmtId="4" fontId="70" fillId="0" borderId="34" xfId="0" applyNumberFormat="1" applyFont="1" applyFill="1" applyBorder="1" applyAlignment="1" applyProtection="1">
      <alignment horizontal="right"/>
    </xf>
    <xf numFmtId="0" fontId="61" fillId="0" borderId="34" xfId="0" applyFont="1" applyFill="1" applyBorder="1" applyAlignment="1" applyProtection="1">
      <alignment horizontal="left" vertical="top"/>
    </xf>
    <xf numFmtId="4" fontId="86" fillId="0" borderId="0" xfId="0" applyNumberFormat="1" applyFont="1" applyFill="1" applyAlignment="1" applyProtection="1">
      <alignment horizontal="left" vertical="center"/>
    </xf>
    <xf numFmtId="4" fontId="50" fillId="0" borderId="0" xfId="10" applyNumberFormat="1" applyFont="1" applyFill="1" applyAlignment="1" applyProtection="1">
      <alignment horizontal="left" vertical="center"/>
    </xf>
    <xf numFmtId="0" fontId="46" fillId="0" borderId="0" xfId="0" applyFont="1" applyFill="1" applyAlignment="1" applyProtection="1">
      <alignment horizontal="left"/>
    </xf>
    <xf numFmtId="4" fontId="28" fillId="0" borderId="0" xfId="0" applyNumberFormat="1" applyFont="1" applyFill="1" applyAlignment="1" applyProtection="1">
      <alignment horizontal="left" vertical="center"/>
    </xf>
    <xf numFmtId="37" fontId="21" fillId="0" borderId="34" xfId="0" applyNumberFormat="1" applyFont="1" applyFill="1" applyBorder="1" applyAlignment="1" applyProtection="1">
      <alignment horizontal="right"/>
    </xf>
    <xf numFmtId="0" fontId="21" fillId="0" borderId="34" xfId="0" applyFont="1" applyFill="1" applyBorder="1" applyAlignment="1" applyProtection="1">
      <alignment horizontal="left" wrapText="1"/>
    </xf>
    <xf numFmtId="4" fontId="21" fillId="0" borderId="34" xfId="0" applyNumberFormat="1" applyFont="1" applyFill="1" applyBorder="1" applyAlignment="1" applyProtection="1">
      <alignment horizontal="right"/>
    </xf>
    <xf numFmtId="0" fontId="0" fillId="0" borderId="34" xfId="0" applyFill="1" applyBorder="1" applyAlignment="1" applyProtection="1">
      <alignment horizontal="left" vertical="top"/>
    </xf>
    <xf numFmtId="0" fontId="11" fillId="0" borderId="0" xfId="27" applyFont="1" applyFill="1" applyAlignment="1" applyProtection="1">
      <alignment horizontal="left" wrapText="1"/>
    </xf>
    <xf numFmtId="0" fontId="17" fillId="0" borderId="0" xfId="27" applyFont="1" applyFill="1" applyAlignment="1" applyProtection="1">
      <alignment horizontal="left" wrapText="1"/>
    </xf>
    <xf numFmtId="0" fontId="19" fillId="0" borderId="0" xfId="27" applyFill="1" applyAlignment="1" applyProtection="1">
      <alignment horizontal="left" vertical="top"/>
    </xf>
    <xf numFmtId="0" fontId="64" fillId="0" borderId="0" xfId="11" applyFont="1" applyFill="1" applyAlignment="1" applyProtection="1">
      <alignment horizontal="left" vertical="top"/>
    </xf>
    <xf numFmtId="39" fontId="46" fillId="0" borderId="0" xfId="27" applyNumberFormat="1" applyFont="1" applyFill="1" applyAlignment="1" applyProtection="1">
      <alignment horizontal="right"/>
    </xf>
    <xf numFmtId="0" fontId="61" fillId="0" borderId="0" xfId="27" applyFont="1" applyFill="1" applyAlignment="1" applyProtection="1">
      <alignment horizontal="right" vertical="center"/>
    </xf>
    <xf numFmtId="0" fontId="19" fillId="0" borderId="0" xfId="27" applyAlignment="1" applyProtection="1">
      <alignment horizontal="left" vertical="top"/>
    </xf>
    <xf numFmtId="0" fontId="40" fillId="0" borderId="0" xfId="27" applyFont="1" applyFill="1" applyAlignment="1" applyProtection="1">
      <alignment horizontal="center" vertical="center" wrapText="1"/>
    </xf>
    <xf numFmtId="37" fontId="46" fillId="0" borderId="0" xfId="27" applyNumberFormat="1" applyFont="1" applyFill="1" applyAlignment="1" applyProtection="1">
      <alignment horizontal="right"/>
    </xf>
    <xf numFmtId="0" fontId="46" fillId="0" borderId="0" xfId="27" applyFont="1" applyFill="1" applyAlignment="1" applyProtection="1">
      <alignment horizontal="left" wrapText="1"/>
    </xf>
    <xf numFmtId="0" fontId="48" fillId="0" borderId="0" xfId="27" applyFont="1" applyFill="1" applyAlignment="1" applyProtection="1">
      <alignment horizontal="left" wrapText="1"/>
    </xf>
    <xf numFmtId="2" fontId="46" fillId="0" borderId="0" xfId="27" applyNumberFormat="1" applyFont="1" applyFill="1" applyAlignment="1" applyProtection="1">
      <alignment horizontal="right"/>
    </xf>
    <xf numFmtId="167" fontId="46" fillId="0" borderId="34" xfId="0" applyNumberFormat="1" applyFont="1" applyFill="1" applyBorder="1" applyAlignment="1" applyProtection="1">
      <alignment horizontal="right"/>
    </xf>
    <xf numFmtId="0" fontId="26" fillId="0" borderId="0" xfId="10" applyFill="1" applyAlignment="1" applyProtection="1">
      <alignment horizontal="left" vertical="center"/>
    </xf>
    <xf numFmtId="167" fontId="48" fillId="0" borderId="34" xfId="0" applyNumberFormat="1" applyFont="1" applyFill="1" applyBorder="1" applyAlignment="1" applyProtection="1">
      <alignment horizontal="right"/>
    </xf>
    <xf numFmtId="0" fontId="61" fillId="0" borderId="0" xfId="27" applyFont="1" applyFill="1" applyAlignment="1" applyProtection="1">
      <alignment horizontal="left" vertical="center"/>
    </xf>
    <xf numFmtId="0" fontId="46" fillId="0" borderId="0" xfId="27" applyFont="1" applyFill="1" applyAlignment="1" applyProtection="1">
      <alignment horizontal="left" vertical="center"/>
    </xf>
    <xf numFmtId="0" fontId="80" fillId="0" borderId="0" xfId="0" applyFont="1" applyFill="1" applyAlignment="1" applyProtection="1">
      <alignment horizontal="left" vertical="center"/>
    </xf>
    <xf numFmtId="167" fontId="11" fillId="0" borderId="34" xfId="0" applyNumberFormat="1" applyFont="1" applyFill="1" applyBorder="1" applyAlignment="1" applyProtection="1">
      <alignment horizontal="right"/>
    </xf>
    <xf numFmtId="4" fontId="61" fillId="0" borderId="0" xfId="0" applyNumberFormat="1" applyFont="1" applyFill="1" applyAlignment="1" applyProtection="1">
      <alignment horizontal="right" vertical="center"/>
    </xf>
    <xf numFmtId="167" fontId="17" fillId="0" borderId="34" xfId="0" applyNumberFormat="1" applyFont="1" applyFill="1" applyBorder="1" applyAlignment="1" applyProtection="1">
      <alignment horizontal="right"/>
    </xf>
    <xf numFmtId="4" fontId="19" fillId="0" borderId="0" xfId="0" applyNumberFormat="1" applyFont="1" applyFill="1" applyAlignment="1" applyProtection="1">
      <alignment horizontal="left" vertical="center"/>
    </xf>
    <xf numFmtId="37" fontId="11" fillId="0" borderId="34" xfId="8" applyNumberFormat="1" applyFont="1" applyFill="1" applyBorder="1" applyAlignment="1" applyProtection="1">
      <alignment horizontal="right"/>
    </xf>
    <xf numFmtId="49" fontId="11" fillId="0" borderId="34" xfId="8" applyNumberFormat="1" applyFont="1" applyFill="1" applyBorder="1" applyAlignment="1" applyProtection="1">
      <alignment horizontal="left" wrapText="1"/>
    </xf>
    <xf numFmtId="0" fontId="11" fillId="0" borderId="34" xfId="8" applyFont="1" applyFill="1" applyBorder="1" applyAlignment="1" applyProtection="1">
      <alignment horizontal="left" wrapText="1"/>
    </xf>
    <xf numFmtId="0" fontId="11" fillId="0" borderId="34" xfId="8" applyFont="1" applyFill="1" applyBorder="1" applyAlignment="1" applyProtection="1">
      <alignment wrapText="1"/>
    </xf>
    <xf numFmtId="2" fontId="11" fillId="0" borderId="34" xfId="8" applyNumberFormat="1" applyFont="1" applyFill="1" applyBorder="1" applyAlignment="1" applyProtection="1">
      <alignment horizontal="right"/>
    </xf>
    <xf numFmtId="4" fontId="11" fillId="0" borderId="34" xfId="8" applyNumberFormat="1" applyFont="1" applyFill="1" applyBorder="1" applyAlignment="1" applyProtection="1">
      <alignment horizontal="right"/>
    </xf>
    <xf numFmtId="4" fontId="19" fillId="0" borderId="0" xfId="8" applyNumberFormat="1" applyFill="1" applyAlignment="1" applyProtection="1">
      <alignment horizontal="left" vertical="center"/>
    </xf>
    <xf numFmtId="0" fontId="66" fillId="0" borderId="0" xfId="26" applyFont="1" applyFill="1" applyAlignment="1" applyProtection="1">
      <alignment horizontal="right" vertical="top"/>
    </xf>
    <xf numFmtId="37" fontId="46" fillId="0" borderId="0" xfId="8" applyNumberFormat="1" applyFont="1" applyFill="1" applyAlignment="1" applyProtection="1">
      <alignment horizontal="right"/>
    </xf>
    <xf numFmtId="0" fontId="46" fillId="0" borderId="0" xfId="8" applyFont="1" applyFill="1" applyAlignment="1" applyProtection="1">
      <alignment horizontal="left"/>
    </xf>
    <xf numFmtId="0" fontId="46" fillId="0" borderId="0" xfId="8" applyFont="1" applyFill="1" applyAlignment="1" applyProtection="1">
      <alignment horizontal="left" wrapText="1"/>
    </xf>
    <xf numFmtId="0" fontId="48" fillId="0" borderId="0" xfId="8" applyFont="1" applyFill="1" applyAlignment="1" applyProtection="1">
      <alignment horizontal="left" wrapText="1"/>
    </xf>
    <xf numFmtId="2" fontId="46" fillId="0" borderId="0" xfId="8" applyNumberFormat="1" applyFont="1" applyFill="1" applyAlignment="1" applyProtection="1">
      <alignment horizontal="right"/>
    </xf>
    <xf numFmtId="39" fontId="46" fillId="0" borderId="0" xfId="8" applyNumberFormat="1" applyFont="1" applyFill="1" applyAlignment="1" applyProtection="1">
      <alignment horizontal="right"/>
    </xf>
    <xf numFmtId="0" fontId="61" fillId="0" borderId="0" xfId="8" applyFont="1" applyFill="1" applyAlignment="1" applyProtection="1">
      <alignment horizontal="right" vertical="center"/>
    </xf>
    <xf numFmtId="0" fontId="19" fillId="0" borderId="0" xfId="8" applyFill="1" applyAlignment="1" applyProtection="1">
      <alignment horizontal="left" vertical="top"/>
    </xf>
    <xf numFmtId="0" fontId="19" fillId="0" borderId="0" xfId="8" applyAlignment="1" applyProtection="1">
      <alignment horizontal="left" vertical="top"/>
    </xf>
    <xf numFmtId="37" fontId="21" fillId="0" borderId="34" xfId="8" applyNumberFormat="1" applyFont="1" applyFill="1" applyBorder="1" applyAlignment="1" applyProtection="1">
      <alignment horizontal="right"/>
    </xf>
    <xf numFmtId="0" fontId="21" fillId="0" borderId="34" xfId="8" applyFont="1" applyFill="1" applyBorder="1" applyAlignment="1" applyProtection="1">
      <alignment horizontal="left" wrapText="1"/>
    </xf>
    <xf numFmtId="0" fontId="17" fillId="0" borderId="34" xfId="8" applyFont="1" applyFill="1" applyBorder="1" applyAlignment="1" applyProtection="1">
      <alignment horizontal="left" wrapText="1"/>
    </xf>
    <xf numFmtId="2" fontId="17" fillId="0" borderId="34" xfId="8" applyNumberFormat="1" applyFont="1" applyFill="1" applyBorder="1" applyAlignment="1" applyProtection="1">
      <alignment horizontal="right"/>
    </xf>
    <xf numFmtId="4" fontId="21" fillId="0" borderId="34" xfId="8" applyNumberFormat="1" applyFont="1" applyFill="1" applyBorder="1" applyAlignment="1" applyProtection="1">
      <alignment horizontal="right"/>
    </xf>
    <xf numFmtId="0" fontId="19" fillId="0" borderId="34" xfId="8" applyFill="1" applyBorder="1" applyAlignment="1" applyProtection="1">
      <alignment horizontal="left" vertical="top"/>
    </xf>
    <xf numFmtId="4" fontId="61" fillId="0" borderId="0" xfId="8" applyNumberFormat="1" applyFont="1" applyFill="1" applyAlignment="1" applyProtection="1">
      <alignment horizontal="right" vertical="center"/>
    </xf>
    <xf numFmtId="37" fontId="21" fillId="0" borderId="34" xfId="12" applyNumberFormat="1" applyFont="1" applyFill="1" applyBorder="1" applyAlignment="1" applyProtection="1">
      <alignment horizontal="right"/>
    </xf>
    <xf numFmtId="0" fontId="21" fillId="0" borderId="34" xfId="12" applyFont="1" applyFill="1" applyBorder="1" applyAlignment="1" applyProtection="1">
      <alignment horizontal="left" wrapText="1"/>
    </xf>
    <xf numFmtId="0" fontId="21" fillId="0" borderId="34" xfId="5" applyFont="1" applyFill="1" applyBorder="1" applyAlignment="1" applyProtection="1">
      <alignment horizontal="left" vertical="center" wrapText="1"/>
    </xf>
    <xf numFmtId="2" fontId="21" fillId="0" borderId="34" xfId="12" applyNumberFormat="1" applyFont="1" applyFill="1" applyBorder="1" applyAlignment="1" applyProtection="1">
      <alignment horizontal="right"/>
    </xf>
    <xf numFmtId="4" fontId="21" fillId="0" borderId="34" xfId="12" applyNumberFormat="1" applyFont="1" applyFill="1" applyBorder="1" applyAlignment="1" applyProtection="1">
      <alignment horizontal="right"/>
    </xf>
    <xf numFmtId="0" fontId="24" fillId="0" borderId="34" xfId="12" applyFill="1" applyBorder="1" applyAlignment="1" applyProtection="1">
      <alignment horizontal="left" vertical="top"/>
    </xf>
    <xf numFmtId="0" fontId="1" fillId="0" borderId="0" xfId="5" applyFill="1" applyAlignment="1" applyProtection="1">
      <alignment vertical="center"/>
    </xf>
    <xf numFmtId="0" fontId="24" fillId="0" borderId="0" xfId="12" applyFill="1" applyAlignment="1" applyProtection="1">
      <alignment horizontal="left" vertical="top"/>
    </xf>
    <xf numFmtId="0" fontId="24" fillId="0" borderId="0" xfId="12" applyAlignment="1" applyProtection="1">
      <alignment horizontal="left" vertical="top"/>
    </xf>
    <xf numFmtId="0" fontId="73" fillId="0" borderId="0" xfId="5" applyFont="1" applyFill="1" applyAlignment="1" applyProtection="1">
      <alignment horizontal="center" vertical="center"/>
    </xf>
    <xf numFmtId="0" fontId="73" fillId="0" borderId="0" xfId="5" applyFont="1" applyFill="1" applyAlignment="1" applyProtection="1">
      <alignment horizontal="left" vertical="center"/>
    </xf>
    <xf numFmtId="0" fontId="61" fillId="0" borderId="0" xfId="5" applyFont="1" applyFill="1" applyAlignment="1" applyProtection="1">
      <alignment horizontal="left" vertical="center"/>
    </xf>
    <xf numFmtId="0" fontId="48" fillId="0" borderId="0" xfId="5" applyFont="1" applyFill="1" applyAlignment="1" applyProtection="1">
      <alignment horizontal="left" vertical="center" wrapText="1"/>
    </xf>
    <xf numFmtId="0" fontId="11" fillId="0" borderId="0" xfId="5" applyFont="1" applyFill="1" applyAlignment="1" applyProtection="1">
      <alignment horizontal="left" vertical="center" wrapText="1"/>
    </xf>
    <xf numFmtId="2" fontId="46" fillId="0" borderId="0" xfId="5" applyNumberFormat="1" applyFont="1" applyFill="1" applyAlignment="1" applyProtection="1">
      <alignment horizontal="right" vertical="center"/>
    </xf>
    <xf numFmtId="39" fontId="11" fillId="0" borderId="0" xfId="5" applyNumberFormat="1" applyFont="1" applyFill="1" applyAlignment="1" applyProtection="1">
      <alignment horizontal="right"/>
    </xf>
    <xf numFmtId="39" fontId="11" fillId="0" borderId="0" xfId="5" applyNumberFormat="1" applyFont="1" applyFill="1" applyAlignment="1" applyProtection="1">
      <alignment horizontal="center"/>
    </xf>
    <xf numFmtId="0" fontId="19" fillId="0" borderId="34" xfId="5" applyFont="1" applyFill="1" applyBorder="1" applyAlignment="1" applyProtection="1">
      <alignment vertical="top"/>
    </xf>
    <xf numFmtId="2" fontId="11" fillId="0" borderId="34" xfId="5" applyNumberFormat="1" applyFont="1" applyFill="1" applyBorder="1" applyProtection="1"/>
    <xf numFmtId="0" fontId="65" fillId="0" borderId="34" xfId="5" applyFont="1" applyFill="1" applyBorder="1" applyAlignment="1" applyProtection="1">
      <alignment horizontal="left" wrapText="1"/>
    </xf>
    <xf numFmtId="2" fontId="17" fillId="0" borderId="34" xfId="5" applyNumberFormat="1" applyFont="1" applyFill="1" applyBorder="1" applyProtection="1"/>
    <xf numFmtId="4" fontId="65" fillId="0" borderId="34" xfId="5" applyNumberFormat="1" applyFont="1" applyFill="1" applyBorder="1" applyAlignment="1" applyProtection="1">
      <alignment horizontal="right"/>
    </xf>
    <xf numFmtId="39" fontId="65" fillId="0" borderId="34" xfId="5" applyNumberFormat="1" applyFont="1" applyFill="1" applyBorder="1" applyAlignment="1" applyProtection="1">
      <alignment horizontal="center"/>
    </xf>
    <xf numFmtId="0" fontId="52" fillId="0" borderId="0" xfId="5" applyFont="1" applyFill="1" applyProtection="1"/>
    <xf numFmtId="37" fontId="25" fillId="0" borderId="34" xfId="11" applyNumberFormat="1" applyFont="1" applyFill="1" applyBorder="1" applyAlignment="1" applyProtection="1">
      <alignment horizontal="right"/>
    </xf>
    <xf numFmtId="49" fontId="25" fillId="0" borderId="34" xfId="11" applyNumberFormat="1" applyFont="1" applyFill="1" applyBorder="1" applyAlignment="1" applyProtection="1">
      <alignment horizontal="left" wrapText="1"/>
    </xf>
    <xf numFmtId="0" fontId="87" fillId="0" borderId="34" xfId="11" applyFont="1" applyFill="1" applyBorder="1" applyAlignment="1" applyProtection="1">
      <alignment horizontal="left" wrapText="1"/>
    </xf>
    <xf numFmtId="2" fontId="17" fillId="0" borderId="34" xfId="11" applyNumberFormat="1" applyFont="1" applyFill="1" applyBorder="1" applyAlignment="1" applyProtection="1">
      <alignment horizontal="right" wrapText="1"/>
    </xf>
    <xf numFmtId="4" fontId="25" fillId="0" borderId="34" xfId="11" applyNumberFormat="1" applyFont="1" applyFill="1" applyBorder="1" applyAlignment="1" applyProtection="1">
      <alignment horizontal="right"/>
    </xf>
    <xf numFmtId="0" fontId="56" fillId="0" borderId="34" xfId="11" applyFont="1" applyFill="1" applyBorder="1" applyAlignment="1" applyProtection="1">
      <alignment horizontal="left" vertical="top" wrapText="1"/>
    </xf>
    <xf numFmtId="0" fontId="5" fillId="0" borderId="0" xfId="5" applyFont="1" applyFill="1" applyProtection="1"/>
    <xf numFmtId="0" fontId="23" fillId="0" borderId="0" xfId="5" applyFont="1" applyFill="1" applyAlignment="1" applyProtection="1">
      <alignment horizontal="left" vertical="center"/>
    </xf>
    <xf numFmtId="0" fontId="39" fillId="0" borderId="0" xfId="5" applyFont="1" applyFill="1" applyAlignment="1" applyProtection="1">
      <alignment horizontal="left" vertical="center"/>
    </xf>
    <xf numFmtId="0" fontId="17" fillId="0" borderId="0" xfId="5" applyFont="1" applyFill="1" applyAlignment="1" applyProtection="1">
      <alignment horizontal="left" vertical="center" wrapText="1"/>
    </xf>
    <xf numFmtId="2" fontId="11" fillId="0" borderId="0" xfId="5" applyNumberFormat="1" applyFont="1" applyFill="1" applyAlignment="1" applyProtection="1">
      <alignment horizontal="right" vertical="center"/>
    </xf>
    <xf numFmtId="0" fontId="1" fillId="0" borderId="0" xfId="5" applyFont="1" applyFill="1" applyAlignment="1" applyProtection="1">
      <alignment horizontal="left" vertical="top"/>
    </xf>
    <xf numFmtId="0" fontId="32" fillId="0" borderId="0" xfId="5" applyFont="1" applyFill="1" applyAlignment="1" applyProtection="1">
      <alignment horizontal="left" vertical="center" textRotation="90" wrapText="1"/>
    </xf>
    <xf numFmtId="2" fontId="57" fillId="0" borderId="0" xfId="5" applyNumberFormat="1" applyFont="1" applyFill="1" applyAlignment="1" applyProtection="1">
      <alignment vertical="center"/>
    </xf>
    <xf numFmtId="2" fontId="1" fillId="0" borderId="0" xfId="5" applyNumberFormat="1" applyFill="1" applyAlignment="1" applyProtection="1">
      <alignment horizontal="left" vertical="top"/>
    </xf>
    <xf numFmtId="0" fontId="21" fillId="0" borderId="34" xfId="5" applyFont="1" applyFill="1" applyBorder="1" applyAlignment="1" applyProtection="1">
      <alignment horizontal="left" wrapText="1"/>
    </xf>
    <xf numFmtId="2" fontId="21" fillId="0" borderId="34" xfId="5" applyNumberFormat="1" applyFont="1" applyFill="1" applyBorder="1" applyAlignment="1" applyProtection="1">
      <alignment horizontal="right"/>
    </xf>
    <xf numFmtId="4" fontId="21" fillId="0" borderId="34" xfId="5" applyNumberFormat="1" applyFont="1" applyFill="1" applyBorder="1" applyAlignment="1" applyProtection="1">
      <alignment horizontal="right"/>
    </xf>
    <xf numFmtId="0" fontId="1" fillId="0" borderId="34" xfId="5" applyFill="1" applyBorder="1" applyAlignment="1" applyProtection="1">
      <alignment horizontal="left" vertical="top"/>
    </xf>
    <xf numFmtId="0" fontId="30" fillId="0" borderId="0" xfId="7" applyFont="1" applyFill="1" applyAlignment="1" applyProtection="1">
      <alignment horizontal="left" vertical="top"/>
    </xf>
    <xf numFmtId="49" fontId="11" fillId="0" borderId="34" xfId="5" applyNumberFormat="1" applyFont="1" applyFill="1" applyBorder="1" applyAlignment="1" applyProtection="1">
      <alignment horizontal="right" wrapText="1"/>
    </xf>
    <xf numFmtId="49" fontId="11" fillId="0" borderId="34" xfId="5" applyNumberFormat="1" applyFont="1" applyFill="1" applyBorder="1" applyAlignment="1" applyProtection="1">
      <alignment horizontal="left" wrapText="1"/>
    </xf>
    <xf numFmtId="37" fontId="29" fillId="0" borderId="0" xfId="5" applyNumberFormat="1" applyFont="1" applyAlignment="1" applyProtection="1">
      <alignment horizontal="right"/>
    </xf>
    <xf numFmtId="0" fontId="29" fillId="0" borderId="0" xfId="5" applyFont="1" applyAlignment="1" applyProtection="1">
      <alignment horizontal="left" wrapText="1"/>
    </xf>
    <xf numFmtId="165" fontId="29" fillId="0" borderId="0" xfId="5" applyNumberFormat="1" applyFont="1" applyAlignment="1" applyProtection="1">
      <alignment horizontal="right"/>
    </xf>
    <xf numFmtId="39" fontId="29" fillId="0" borderId="0" xfId="5" applyNumberFormat="1" applyFont="1" applyAlignment="1" applyProtection="1">
      <alignment horizontal="right"/>
    </xf>
    <xf numFmtId="37" fontId="11" fillId="0" borderId="39" xfId="5" applyNumberFormat="1" applyFont="1" applyBorder="1" applyAlignment="1" applyProtection="1">
      <alignment horizontal="right"/>
    </xf>
    <xf numFmtId="0" fontId="11" fillId="0" borderId="39" xfId="5" applyFont="1" applyBorder="1" applyAlignment="1" applyProtection="1">
      <alignment horizontal="left" wrapText="1"/>
    </xf>
    <xf numFmtId="0" fontId="11" fillId="0" borderId="39" xfId="5" applyFont="1" applyBorder="1" applyAlignment="1" applyProtection="1">
      <alignment horizontal="center" wrapText="1"/>
    </xf>
    <xf numFmtId="165" fontId="11" fillId="0" borderId="39" xfId="5" applyNumberFormat="1" applyFont="1" applyBorder="1" applyAlignment="1" applyProtection="1">
      <alignment horizontal="right"/>
    </xf>
    <xf numFmtId="39" fontId="11" fillId="0" borderId="39" xfId="5" applyNumberFormat="1" applyFont="1" applyBorder="1" applyAlignment="1" applyProtection="1">
      <alignment horizontal="right"/>
    </xf>
    <xf numFmtId="0" fontId="68" fillId="0" borderId="0" xfId="5" applyFont="1" applyAlignment="1" applyProtection="1">
      <alignment horizontal="left" vertical="top"/>
    </xf>
    <xf numFmtId="37" fontId="21" fillId="0" borderId="36" xfId="5" applyNumberFormat="1" applyFont="1" applyBorder="1" applyAlignment="1" applyProtection="1">
      <alignment horizontal="center"/>
    </xf>
    <xf numFmtId="37" fontId="21" fillId="0" borderId="37" xfId="5" applyNumberFormat="1" applyFont="1" applyBorder="1" applyAlignment="1" applyProtection="1">
      <alignment horizontal="center"/>
    </xf>
    <xf numFmtId="37" fontId="21" fillId="0" borderId="38" xfId="5" applyNumberFormat="1" applyFont="1" applyBorder="1" applyAlignment="1" applyProtection="1">
      <alignment horizontal="center"/>
    </xf>
    <xf numFmtId="0" fontId="21" fillId="0" borderId="36" xfId="5" applyFont="1" applyBorder="1" applyAlignment="1" applyProtection="1">
      <alignment horizontal="left"/>
    </xf>
    <xf numFmtId="0" fontId="25" fillId="0" borderId="37" xfId="5" applyFont="1" applyBorder="1" applyAlignment="1" applyProtection="1">
      <alignment horizontal="center"/>
    </xf>
    <xf numFmtId="165" fontId="25" fillId="0" borderId="37" xfId="5" applyNumberFormat="1" applyFont="1" applyBorder="1" applyAlignment="1" applyProtection="1">
      <alignment horizontal="right"/>
    </xf>
    <xf numFmtId="39" fontId="11" fillId="0" borderId="37" xfId="5" applyNumberFormat="1" applyFont="1" applyBorder="1" applyAlignment="1" applyProtection="1">
      <alignment horizontal="right"/>
    </xf>
    <xf numFmtId="39" fontId="21" fillId="0" borderId="33" xfId="5" applyNumberFormat="1" applyFont="1" applyBorder="1" applyAlignment="1" applyProtection="1">
      <alignment horizontal="right"/>
    </xf>
    <xf numFmtId="39" fontId="65" fillId="0" borderId="0" xfId="5" applyNumberFormat="1" applyFont="1" applyAlignment="1" applyProtection="1">
      <alignment horizontal="center"/>
    </xf>
    <xf numFmtId="37" fontId="25" fillId="0" borderId="0" xfId="5" applyNumberFormat="1" applyFont="1" applyAlignment="1" applyProtection="1">
      <alignment horizontal="right"/>
    </xf>
    <xf numFmtId="0" fontId="25" fillId="0" borderId="0" xfId="5" applyFont="1" applyAlignment="1" applyProtection="1">
      <alignment horizontal="left" wrapText="1"/>
    </xf>
    <xf numFmtId="0" fontId="11" fillId="0" borderId="0" xfId="5" applyFont="1" applyAlignment="1" applyProtection="1">
      <alignment horizontal="left" wrapText="1"/>
    </xf>
    <xf numFmtId="0" fontId="25" fillId="0" borderId="0" xfId="5" applyFont="1" applyAlignment="1" applyProtection="1">
      <alignment horizontal="center" wrapText="1"/>
    </xf>
    <xf numFmtId="165" fontId="25" fillId="0" borderId="0" xfId="5" applyNumberFormat="1" applyFont="1" applyAlignment="1" applyProtection="1">
      <alignment horizontal="right"/>
    </xf>
    <xf numFmtId="39" fontId="25" fillId="0" borderId="0" xfId="5" applyNumberFormat="1" applyFont="1" applyAlignment="1" applyProtection="1">
      <alignment horizontal="right"/>
    </xf>
    <xf numFmtId="39" fontId="11" fillId="0" borderId="0" xfId="5" applyNumberFormat="1" applyFont="1" applyAlignment="1" applyProtection="1">
      <alignment horizontal="right"/>
    </xf>
    <xf numFmtId="0" fontId="10" fillId="0" borderId="0" xfId="6" applyFont="1" applyAlignment="1" applyProtection="1">
      <alignment vertical="center" wrapText="1"/>
    </xf>
    <xf numFmtId="0" fontId="19" fillId="0" borderId="0" xfId="7" applyAlignment="1" applyProtection="1">
      <alignment vertical="center" wrapText="1"/>
    </xf>
    <xf numFmtId="0" fontId="19" fillId="0" borderId="0" xfId="8" applyAlignment="1" applyProtection="1">
      <alignment vertical="center" wrapText="1"/>
    </xf>
    <xf numFmtId="0" fontId="10" fillId="0" borderId="0" xfId="6" applyFont="1" applyAlignment="1" applyProtection="1">
      <alignment horizontal="center" vertical="center" wrapText="1"/>
    </xf>
    <xf numFmtId="4" fontId="11" fillId="0" borderId="34" xfId="27" applyNumberFormat="1" applyFont="1" applyFill="1" applyBorder="1" applyAlignment="1" applyProtection="1">
      <alignment horizontal="right"/>
      <protection locked="0"/>
    </xf>
    <xf numFmtId="4" fontId="46" fillId="0" borderId="34" xfId="27" applyNumberFormat="1" applyFont="1" applyFill="1" applyBorder="1" applyAlignment="1" applyProtection="1">
      <alignment horizontal="right"/>
      <protection locked="0"/>
    </xf>
    <xf numFmtId="4" fontId="11" fillId="0" borderId="34" xfId="8" applyNumberFormat="1" applyFont="1" applyFill="1" applyBorder="1" applyAlignment="1" applyProtection="1">
      <alignment horizontal="right"/>
      <protection locked="0"/>
    </xf>
    <xf numFmtId="0" fontId="22" fillId="0" borderId="33" xfId="5" applyFont="1" applyFill="1" applyBorder="1" applyAlignment="1" applyProtection="1">
      <alignment horizontal="center" vertical="center" wrapText="1"/>
    </xf>
    <xf numFmtId="0" fontId="22" fillId="0" borderId="36" xfId="5" applyFont="1" applyFill="1" applyBorder="1" applyAlignment="1" applyProtection="1">
      <alignment horizontal="center" vertical="center" wrapText="1"/>
    </xf>
    <xf numFmtId="0" fontId="22" fillId="0" borderId="15" xfId="5" applyFont="1" applyFill="1" applyBorder="1" applyAlignment="1" applyProtection="1">
      <alignment horizontal="center" vertical="center" wrapText="1"/>
    </xf>
    <xf numFmtId="37" fontId="21" fillId="0" borderId="0" xfId="5" applyNumberFormat="1" applyFont="1" applyFill="1" applyAlignment="1" applyProtection="1">
      <alignment horizontal="right"/>
    </xf>
    <xf numFmtId="0" fontId="21" fillId="0" borderId="0" xfId="5" applyFont="1" applyFill="1" applyAlignment="1" applyProtection="1">
      <alignment horizontal="left" wrapText="1"/>
    </xf>
    <xf numFmtId="165" fontId="21" fillId="0" borderId="0" xfId="5" applyNumberFormat="1" applyFont="1" applyFill="1" applyAlignment="1" applyProtection="1">
      <alignment horizontal="right"/>
    </xf>
    <xf numFmtId="4" fontId="21" fillId="0" borderId="0" xfId="5" applyNumberFormat="1" applyFont="1" applyFill="1" applyAlignment="1" applyProtection="1">
      <alignment horizontal="right"/>
    </xf>
    <xf numFmtId="37" fontId="21" fillId="0" borderId="34" xfId="5" applyNumberFormat="1" applyFont="1" applyFill="1" applyBorder="1" applyAlignment="1" applyProtection="1">
      <alignment horizontal="right"/>
    </xf>
    <xf numFmtId="0" fontId="21" fillId="0" borderId="34" xfId="5" applyFont="1" applyFill="1" applyBorder="1" applyAlignment="1" applyProtection="1">
      <alignment horizontal="center" wrapText="1"/>
    </xf>
    <xf numFmtId="165" fontId="21" fillId="0" borderId="34" xfId="5" applyNumberFormat="1" applyFont="1" applyFill="1" applyBorder="1" applyAlignment="1" applyProtection="1">
      <alignment horizontal="right"/>
    </xf>
    <xf numFmtId="0" fontId="19" fillId="0" borderId="34" xfId="5" applyFont="1" applyFill="1" applyBorder="1" applyAlignment="1" applyProtection="1">
      <alignment horizontal="left" vertical="top"/>
    </xf>
    <xf numFmtId="0" fontId="57" fillId="0" borderId="0" xfId="5" applyFont="1" applyFill="1" applyAlignment="1" applyProtection="1">
      <alignment vertical="center"/>
    </xf>
    <xf numFmtId="2" fontId="40" fillId="0" borderId="0" xfId="0" applyNumberFormat="1" applyFont="1" applyFill="1" applyAlignment="1" applyProtection="1">
      <alignment horizontal="left" vertical="center"/>
    </xf>
    <xf numFmtId="0" fontId="33" fillId="0" borderId="0" xfId="35" applyFont="1" applyFill="1" applyAlignment="1" applyProtection="1">
      <alignment horizontal="left" vertical="center"/>
    </xf>
    <xf numFmtId="37" fontId="11" fillId="0" borderId="34" xfId="16" applyNumberFormat="1" applyFont="1" applyFill="1" applyBorder="1" applyAlignment="1" applyProtection="1">
      <alignment horizontal="right"/>
    </xf>
    <xf numFmtId="0" fontId="11" fillId="0" borderId="34" xfId="16" applyFont="1" applyFill="1" applyBorder="1" applyAlignment="1" applyProtection="1">
      <alignment horizontal="left" wrapText="1"/>
    </xf>
    <xf numFmtId="2" fontId="11" fillId="0" borderId="34" xfId="16" applyNumberFormat="1" applyFont="1" applyFill="1" applyBorder="1" applyAlignment="1" applyProtection="1">
      <alignment horizontal="right"/>
    </xf>
    <xf numFmtId="4" fontId="11" fillId="0" borderId="34" xfId="16" applyNumberFormat="1" applyFont="1" applyFill="1" applyBorder="1" applyAlignment="1" applyProtection="1">
      <alignment horizontal="right"/>
    </xf>
    <xf numFmtId="0" fontId="36" fillId="0" borderId="0" xfId="16" applyFont="1" applyFill="1" applyAlignment="1" applyProtection="1">
      <alignment horizontal="left" vertical="center"/>
    </xf>
    <xf numFmtId="0" fontId="1" fillId="0" borderId="0" xfId="16" applyFill="1" applyProtection="1"/>
    <xf numFmtId="0" fontId="1" fillId="0" borderId="0" xfId="16" applyProtection="1"/>
    <xf numFmtId="0" fontId="58" fillId="0" borderId="34" xfId="16" applyFont="1" applyFill="1" applyBorder="1" applyAlignment="1" applyProtection="1">
      <alignment horizontal="center" vertical="center" wrapText="1"/>
    </xf>
    <xf numFmtId="0" fontId="17" fillId="0" borderId="34" xfId="16" applyFont="1" applyFill="1" applyBorder="1" applyAlignment="1" applyProtection="1">
      <alignment horizontal="left" wrapText="1"/>
    </xf>
    <xf numFmtId="39" fontId="11" fillId="0" borderId="34" xfId="16" applyNumberFormat="1" applyFont="1" applyFill="1" applyBorder="1" applyAlignment="1" applyProtection="1">
      <alignment horizontal="center"/>
    </xf>
    <xf numFmtId="37" fontId="21" fillId="0" borderId="34" xfId="16" applyNumberFormat="1" applyFont="1" applyFill="1" applyBorder="1" applyAlignment="1" applyProtection="1">
      <alignment horizontal="right"/>
    </xf>
    <xf numFmtId="0" fontId="21" fillId="0" borderId="34" xfId="16" applyFont="1" applyFill="1" applyBorder="1" applyAlignment="1" applyProtection="1">
      <alignment horizontal="left" wrapText="1"/>
    </xf>
    <xf numFmtId="2" fontId="17" fillId="0" borderId="34" xfId="16" applyNumberFormat="1" applyFont="1" applyFill="1" applyBorder="1" applyAlignment="1" applyProtection="1">
      <alignment horizontal="right"/>
    </xf>
    <xf numFmtId="4" fontId="21" fillId="0" borderId="34" xfId="16" applyNumberFormat="1" applyFont="1" applyFill="1" applyBorder="1" applyAlignment="1" applyProtection="1">
      <alignment horizontal="right"/>
    </xf>
    <xf numFmtId="0" fontId="19" fillId="0" borderId="34" xfId="16" applyFont="1" applyFill="1" applyBorder="1" applyAlignment="1" applyProtection="1">
      <alignment horizontal="left" vertical="top"/>
    </xf>
    <xf numFmtId="0" fontId="59" fillId="0" borderId="0" xfId="5" applyFont="1" applyFill="1" applyAlignment="1" applyProtection="1">
      <alignment vertical="center"/>
    </xf>
    <xf numFmtId="0" fontId="112" fillId="0" borderId="0" xfId="0" applyFont="1" applyFill="1" applyAlignment="1" applyProtection="1">
      <alignment horizontal="left" vertical="center"/>
    </xf>
    <xf numFmtId="0" fontId="19" fillId="0" borderId="0" xfId="17" applyFill="1" applyAlignment="1" applyProtection="1">
      <alignment horizontal="left" vertical="top"/>
    </xf>
    <xf numFmtId="0" fontId="19" fillId="0" borderId="0" xfId="17" applyFill="1" applyAlignment="1" applyProtection="1">
      <alignment horizontal="right" vertical="center"/>
    </xf>
    <xf numFmtId="0" fontId="19" fillId="0" borderId="0" xfId="17" applyAlignment="1" applyProtection="1">
      <alignment horizontal="left" vertical="top"/>
    </xf>
    <xf numFmtId="0" fontId="19" fillId="0" borderId="0" xfId="17" applyAlignment="1" applyProtection="1">
      <alignment vertical="top"/>
    </xf>
    <xf numFmtId="37" fontId="11" fillId="0" borderId="34" xfId="19" applyNumberFormat="1" applyFont="1" applyFill="1" applyBorder="1" applyAlignment="1" applyProtection="1">
      <alignment horizontal="right"/>
    </xf>
    <xf numFmtId="0" fontId="11" fillId="0" borderId="34" xfId="19" applyFont="1" applyFill="1" applyBorder="1" applyAlignment="1" applyProtection="1">
      <alignment horizontal="left" wrapText="1"/>
    </xf>
    <xf numFmtId="0" fontId="65" fillId="0" borderId="34" xfId="19" applyFont="1" applyFill="1" applyBorder="1" applyAlignment="1" applyProtection="1">
      <alignment horizontal="left" wrapText="1"/>
    </xf>
    <xf numFmtId="0" fontId="17" fillId="0" borderId="34" xfId="19" applyFont="1" applyFill="1" applyBorder="1" applyAlignment="1" applyProtection="1">
      <alignment horizontal="left" wrapText="1"/>
    </xf>
    <xf numFmtId="39" fontId="65" fillId="0" borderId="34" xfId="19" applyNumberFormat="1" applyFont="1" applyFill="1" applyBorder="1" applyAlignment="1" applyProtection="1">
      <alignment horizontal="right"/>
    </xf>
    <xf numFmtId="39" fontId="65" fillId="0" borderId="34" xfId="19" applyNumberFormat="1" applyFont="1" applyFill="1" applyBorder="1" applyAlignment="1" applyProtection="1">
      <alignment horizontal="center"/>
    </xf>
    <xf numFmtId="0" fontId="1" fillId="0" borderId="0" xfId="19" applyFill="1" applyProtection="1"/>
    <xf numFmtId="0" fontId="1" fillId="0" borderId="0" xfId="19" applyProtection="1"/>
    <xf numFmtId="37" fontId="11" fillId="0" borderId="34" xfId="22" applyNumberFormat="1" applyFont="1" applyBorder="1" applyAlignment="1" applyProtection="1">
      <alignment horizontal="right"/>
    </xf>
    <xf numFmtId="0" fontId="11" fillId="0" borderId="34" xfId="22" applyFont="1" applyBorder="1" applyAlignment="1" applyProtection="1">
      <alignment horizontal="left" wrapText="1"/>
    </xf>
    <xf numFmtId="0" fontId="21" fillId="0" borderId="34" xfId="22" applyFont="1" applyBorder="1" applyAlignment="1" applyProtection="1">
      <alignment horizontal="left" wrapText="1"/>
    </xf>
    <xf numFmtId="2" fontId="21" fillId="0" borderId="34" xfId="22" applyNumberFormat="1" applyFont="1" applyBorder="1" applyAlignment="1" applyProtection="1">
      <alignment horizontal="right"/>
    </xf>
    <xf numFmtId="39" fontId="21" fillId="0" borderId="34" xfId="22" applyNumberFormat="1" applyFont="1" applyBorder="1" applyAlignment="1" applyProtection="1">
      <alignment horizontal="right"/>
    </xf>
    <xf numFmtId="39" fontId="21" fillId="5" borderId="34" xfId="22" applyNumberFormat="1" applyFont="1" applyFill="1" applyBorder="1" applyAlignment="1" applyProtection="1">
      <alignment horizontal="right"/>
    </xf>
    <xf numFmtId="0" fontId="68" fillId="0" borderId="34" xfId="22" applyFont="1" applyFill="1" applyBorder="1" applyAlignment="1" applyProtection="1">
      <alignment horizontal="left" vertical="top"/>
    </xf>
    <xf numFmtId="0" fontId="56" fillId="0" borderId="0" xfId="22" applyFill="1" applyProtection="1"/>
    <xf numFmtId="0" fontId="56" fillId="0" borderId="0" xfId="22" applyProtection="1"/>
    <xf numFmtId="0" fontId="52" fillId="0" borderId="0" xfId="5" applyFont="1" applyFill="1" applyAlignment="1" applyProtection="1">
      <alignment vertical="top"/>
    </xf>
    <xf numFmtId="2" fontId="17" fillId="0" borderId="34" xfId="5" applyNumberFormat="1" applyFont="1" applyFill="1" applyBorder="1" applyAlignment="1" applyProtection="1">
      <alignment horizontal="left"/>
    </xf>
    <xf numFmtId="4" fontId="11" fillId="5" borderId="34" xfId="5" applyNumberFormat="1" applyFont="1" applyFill="1" applyBorder="1" applyAlignment="1" applyProtection="1">
      <alignment horizontal="right"/>
    </xf>
    <xf numFmtId="0" fontId="27" fillId="0" borderId="0" xfId="5" applyFont="1" applyFill="1" applyAlignment="1" applyProtection="1">
      <alignment horizontal="left" vertical="top"/>
    </xf>
    <xf numFmtId="4" fontId="17" fillId="0" borderId="34" xfId="13" applyNumberFormat="1" applyFont="1" applyBorder="1" applyAlignment="1" applyProtection="1">
      <alignment horizontal="right"/>
    </xf>
    <xf numFmtId="0" fontId="33" fillId="0" borderId="0" xfId="0" applyFont="1" applyFill="1" applyAlignment="1" applyProtection="1">
      <alignment horizontal="left" vertical="center"/>
    </xf>
    <xf numFmtId="2" fontId="0" fillId="0" borderId="0" xfId="0" applyNumberFormat="1" applyFill="1" applyAlignment="1" applyProtection="1">
      <alignment vertical="center"/>
    </xf>
    <xf numFmtId="37" fontId="11" fillId="0" borderId="34" xfId="13" applyNumberFormat="1" applyFont="1" applyBorder="1" applyAlignment="1" applyProtection="1">
      <alignment horizontal="right"/>
    </xf>
    <xf numFmtId="37" fontId="11" fillId="0" borderId="34" xfId="5" applyNumberFormat="1" applyFont="1" applyBorder="1" applyAlignment="1" applyProtection="1">
      <alignment horizontal="right"/>
    </xf>
    <xf numFmtId="0" fontId="11" fillId="0" borderId="34" xfId="5" applyFont="1" applyBorder="1" applyAlignment="1" applyProtection="1">
      <alignment horizontal="left" wrapText="1"/>
    </xf>
    <xf numFmtId="0" fontId="17" fillId="0" borderId="34" xfId="5" applyFont="1" applyBorder="1" applyAlignment="1" applyProtection="1">
      <alignment horizontal="left" wrapText="1"/>
    </xf>
    <xf numFmtId="2" fontId="17" fillId="0" borderId="34" xfId="5" applyNumberFormat="1" applyFont="1" applyBorder="1" applyAlignment="1" applyProtection="1">
      <alignment horizontal="left"/>
    </xf>
    <xf numFmtId="0" fontId="91" fillId="0" borderId="0" xfId="5" applyFont="1" applyFill="1" applyAlignment="1" applyProtection="1">
      <alignment horizontal="left" vertical="center"/>
    </xf>
    <xf numFmtId="37" fontId="34" fillId="0" borderId="34" xfId="13" applyNumberFormat="1" applyFont="1" applyBorder="1" applyAlignment="1" applyProtection="1">
      <alignment horizontal="right"/>
    </xf>
    <xf numFmtId="0" fontId="34" fillId="0" borderId="34" xfId="5" applyFont="1" applyBorder="1" applyAlignment="1" applyProtection="1">
      <alignment horizontal="left" wrapText="1"/>
    </xf>
    <xf numFmtId="0" fontId="34" fillId="0" borderId="34" xfId="13" applyFont="1" applyBorder="1" applyAlignment="1" applyProtection="1">
      <alignment horizontal="left" wrapText="1"/>
    </xf>
    <xf numFmtId="2" fontId="17" fillId="0" borderId="34" xfId="13" applyNumberFormat="1" applyFont="1" applyBorder="1" applyAlignment="1" applyProtection="1">
      <alignment horizontal="right" wrapText="1"/>
    </xf>
    <xf numFmtId="49" fontId="25" fillId="0" borderId="34" xfId="13" applyNumberFormat="1" applyFont="1" applyBorder="1" applyAlignment="1" applyProtection="1">
      <alignment horizontal="left" wrapText="1"/>
    </xf>
    <xf numFmtId="0" fontId="0" fillId="0" borderId="0" xfId="0" applyFill="1" applyAlignment="1" applyProtection="1">
      <alignment horizontal="left" vertical="center"/>
    </xf>
    <xf numFmtId="37" fontId="25" fillId="0" borderId="34" xfId="13" applyNumberFormat="1" applyFont="1" applyBorder="1" applyAlignment="1" applyProtection="1">
      <alignment horizontal="right"/>
    </xf>
    <xf numFmtId="0" fontId="25" fillId="0" borderId="34" xfId="13" applyFont="1" applyBorder="1" applyAlignment="1" applyProtection="1">
      <alignment horizontal="left" wrapText="1"/>
    </xf>
    <xf numFmtId="0" fontId="17" fillId="0" borderId="34" xfId="21" applyFont="1" applyBorder="1" applyAlignment="1" applyProtection="1">
      <alignment horizontal="left" vertical="center" wrapText="1"/>
    </xf>
    <xf numFmtId="0" fontId="17" fillId="0" borderId="34" xfId="13" applyFont="1" applyBorder="1" applyAlignment="1" applyProtection="1">
      <alignment horizontal="left" wrapText="1"/>
    </xf>
    <xf numFmtId="2" fontId="1" fillId="0" borderId="0" xfId="5" applyNumberFormat="1" applyFill="1" applyAlignment="1" applyProtection="1">
      <alignment vertical="top"/>
    </xf>
    <xf numFmtId="4" fontId="11" fillId="0" borderId="34" xfId="16" applyNumberFormat="1" applyFont="1" applyFill="1" applyBorder="1" applyAlignment="1" applyProtection="1">
      <alignment horizontal="right"/>
      <protection locked="0"/>
    </xf>
    <xf numFmtId="39" fontId="11" fillId="0" borderId="34" xfId="19" applyNumberFormat="1" applyFont="1" applyFill="1" applyBorder="1" applyAlignment="1" applyProtection="1">
      <alignment horizontal="right"/>
      <protection locked="0"/>
    </xf>
    <xf numFmtId="0" fontId="109" fillId="0" borderId="0" xfId="7" applyFont="1" applyFill="1" applyAlignment="1" applyProtection="1">
      <alignment horizontal="left" vertical="center"/>
    </xf>
    <xf numFmtId="0" fontId="78" fillId="0" borderId="0" xfId="7" applyFont="1" applyFill="1" applyAlignment="1" applyProtection="1">
      <alignment horizontal="left" vertical="top"/>
    </xf>
    <xf numFmtId="37" fontId="21" fillId="0" borderId="0" xfId="7" applyNumberFormat="1" applyFont="1" applyAlignment="1" applyProtection="1">
      <alignment horizontal="right"/>
    </xf>
    <xf numFmtId="0" fontId="21" fillId="0" borderId="0" xfId="7" applyFont="1" applyAlignment="1" applyProtection="1">
      <alignment horizontal="left" wrapText="1"/>
    </xf>
    <xf numFmtId="165" fontId="21" fillId="0" borderId="0" xfId="7" applyNumberFormat="1" applyFont="1" applyAlignment="1" applyProtection="1">
      <alignment horizontal="right"/>
    </xf>
    <xf numFmtId="4" fontId="21" fillId="0" borderId="0" xfId="7" applyNumberFormat="1" applyFont="1" applyAlignment="1" applyProtection="1">
      <alignment horizontal="right"/>
    </xf>
    <xf numFmtId="0" fontId="19" fillId="0" borderId="0" xfId="7" applyFill="1" applyAlignment="1" applyProtection="1">
      <alignment horizontal="center" vertical="center"/>
    </xf>
    <xf numFmtId="39" fontId="11" fillId="0" borderId="34" xfId="12" applyNumberFormat="1" applyFont="1" applyFill="1" applyBorder="1" applyAlignment="1" applyProtection="1">
      <alignment horizontal="center"/>
    </xf>
    <xf numFmtId="0" fontId="103" fillId="0" borderId="0" xfId="0" applyFont="1" applyFill="1" applyAlignment="1" applyProtection="1">
      <alignment horizontal="left" vertical="center"/>
    </xf>
    <xf numFmtId="0" fontId="123" fillId="0" borderId="0" xfId="8" applyFont="1" applyFill="1" applyAlignment="1" applyProtection="1">
      <alignment horizontal="left" vertical="center"/>
    </xf>
    <xf numFmtId="0" fontId="124" fillId="0" borderId="0" xfId="0" applyFont="1" applyFill="1" applyAlignment="1" applyProtection="1">
      <alignment horizontal="left" vertical="top"/>
    </xf>
    <xf numFmtId="0" fontId="41" fillId="0" borderId="0" xfId="5" applyFont="1" applyFill="1" applyAlignment="1" applyProtection="1">
      <alignment horizontal="left" vertical="center"/>
    </xf>
    <xf numFmtId="0" fontId="53" fillId="0" borderId="0" xfId="11" applyFont="1" applyFill="1" applyAlignment="1" applyProtection="1">
      <alignment horizontal="left" vertical="top"/>
    </xf>
    <xf numFmtId="0" fontId="27" fillId="0" borderId="0" xfId="11" applyFont="1" applyFill="1" applyAlignment="1" applyProtection="1">
      <alignment horizontal="left" vertical="top"/>
    </xf>
    <xf numFmtId="166" fontId="19" fillId="0" borderId="0" xfId="11" applyNumberFormat="1" applyFill="1" applyAlignment="1" applyProtection="1">
      <alignment horizontal="left" vertical="top"/>
    </xf>
    <xf numFmtId="0" fontId="113" fillId="0" borderId="0" xfId="0" applyFont="1" applyFill="1" applyAlignment="1" applyProtection="1">
      <alignment horizontal="left" vertical="center"/>
    </xf>
    <xf numFmtId="0" fontId="102" fillId="0" borderId="0" xfId="0" applyFont="1" applyFill="1" applyAlignment="1" applyProtection="1">
      <alignment horizontal="left" vertical="center"/>
    </xf>
    <xf numFmtId="0" fontId="59" fillId="0" borderId="0" xfId="35" applyFont="1" applyFill="1" applyAlignment="1" applyProtection="1">
      <alignment horizontal="left" vertical="center"/>
    </xf>
    <xf numFmtId="0" fontId="36" fillId="0" borderId="0" xfId="35" applyFont="1" applyFill="1" applyAlignment="1" applyProtection="1">
      <alignment horizontal="right" vertical="top"/>
    </xf>
    <xf numFmtId="0" fontId="36" fillId="0" borderId="0" xfId="35" applyFont="1" applyFill="1" applyAlignment="1" applyProtection="1">
      <alignment horizontal="left" vertical="top"/>
    </xf>
    <xf numFmtId="37" fontId="69" fillId="0" borderId="34" xfId="5" applyNumberFormat="1" applyFont="1" applyFill="1" applyBorder="1" applyAlignment="1" applyProtection="1">
      <alignment horizontal="right"/>
    </xf>
    <xf numFmtId="0" fontId="69" fillId="0" borderId="34" xfId="5" applyFont="1" applyFill="1" applyBorder="1" applyAlignment="1" applyProtection="1">
      <alignment horizontal="left" wrapText="1"/>
    </xf>
    <xf numFmtId="4" fontId="69" fillId="0" borderId="34" xfId="5" applyNumberFormat="1" applyFont="1" applyFill="1" applyBorder="1" applyAlignment="1" applyProtection="1">
      <alignment horizontal="right"/>
    </xf>
    <xf numFmtId="39" fontId="10" fillId="0" borderId="34" xfId="5" applyNumberFormat="1" applyFont="1" applyFill="1" applyBorder="1" applyAlignment="1" applyProtection="1">
      <alignment horizontal="center"/>
    </xf>
    <xf numFmtId="37" fontId="46" fillId="0" borderId="34" xfId="5" applyNumberFormat="1" applyFont="1" applyFill="1" applyBorder="1" applyAlignment="1" applyProtection="1">
      <alignment horizontal="right"/>
    </xf>
    <xf numFmtId="49" fontId="46" fillId="0" borderId="34" xfId="5" applyNumberFormat="1" applyFont="1" applyFill="1" applyBorder="1" applyAlignment="1" applyProtection="1">
      <alignment horizontal="left" wrapText="1"/>
    </xf>
    <xf numFmtId="0" fontId="46" fillId="0" borderId="34" xfId="5" applyFont="1" applyFill="1" applyBorder="1" applyProtection="1"/>
    <xf numFmtId="2" fontId="46" fillId="0" borderId="34" xfId="5" applyNumberFormat="1" applyFont="1" applyFill="1" applyBorder="1" applyAlignment="1" applyProtection="1">
      <alignment horizontal="right"/>
    </xf>
    <xf numFmtId="4" fontId="46" fillId="0" borderId="34" xfId="5" applyNumberFormat="1" applyFont="1" applyFill="1" applyBorder="1" applyAlignment="1" applyProtection="1">
      <alignment horizontal="right"/>
    </xf>
    <xf numFmtId="39" fontId="46" fillId="0" borderId="34" xfId="5" applyNumberFormat="1" applyFont="1" applyFill="1" applyBorder="1" applyAlignment="1" applyProtection="1">
      <alignment horizontal="center"/>
    </xf>
    <xf numFmtId="37" fontId="70" fillId="0" borderId="34" xfId="5" applyNumberFormat="1" applyFont="1" applyFill="1" applyBorder="1" applyAlignment="1" applyProtection="1">
      <alignment horizontal="right"/>
    </xf>
    <xf numFmtId="0" fontId="70" fillId="0" borderId="34" xfId="5" applyFont="1" applyFill="1" applyBorder="1" applyAlignment="1" applyProtection="1">
      <alignment horizontal="left" wrapText="1"/>
    </xf>
    <xf numFmtId="2" fontId="48" fillId="0" borderId="34" xfId="5" applyNumberFormat="1" applyFont="1" applyFill="1" applyBorder="1" applyAlignment="1" applyProtection="1">
      <alignment horizontal="right"/>
    </xf>
    <xf numFmtId="4" fontId="70" fillId="0" borderId="34" xfId="5" applyNumberFormat="1" applyFont="1" applyFill="1" applyBorder="1" applyAlignment="1" applyProtection="1">
      <alignment horizontal="right"/>
    </xf>
    <xf numFmtId="0" fontId="61" fillId="0" borderId="34" xfId="5" applyFont="1" applyFill="1" applyBorder="1" applyAlignment="1" applyProtection="1">
      <alignment horizontal="left" vertical="top"/>
    </xf>
    <xf numFmtId="0" fontId="1" fillId="0" borderId="0" xfId="5" applyFill="1" applyAlignment="1" applyProtection="1">
      <alignment horizontal="right" vertical="top"/>
    </xf>
    <xf numFmtId="4" fontId="11" fillId="0" borderId="34" xfId="5" applyNumberFormat="1" applyFont="1" applyBorder="1" applyAlignment="1" applyProtection="1">
      <alignment horizontal="right"/>
    </xf>
    <xf numFmtId="37" fontId="25" fillId="0" borderId="34" xfId="5" applyNumberFormat="1" applyFont="1" applyFill="1" applyBorder="1" applyAlignment="1" applyProtection="1">
      <alignment horizontal="right"/>
    </xf>
    <xf numFmtId="49" fontId="25" fillId="0" borderId="34" xfId="5" applyNumberFormat="1" applyFont="1" applyFill="1" applyBorder="1" applyAlignment="1" applyProtection="1">
      <alignment horizontal="left" wrapText="1"/>
    </xf>
    <xf numFmtId="0" fontId="25" fillId="0" borderId="34" xfId="5" applyFont="1" applyFill="1" applyBorder="1" applyAlignment="1" applyProtection="1">
      <alignment horizontal="left" wrapText="1"/>
    </xf>
    <xf numFmtId="37" fontId="34" fillId="0" borderId="34" xfId="5" applyNumberFormat="1" applyFont="1" applyFill="1" applyBorder="1" applyAlignment="1" applyProtection="1">
      <alignment horizontal="right"/>
    </xf>
    <xf numFmtId="4" fontId="17" fillId="0" borderId="34" xfId="5" applyNumberFormat="1" applyFont="1" applyBorder="1" applyAlignment="1" applyProtection="1">
      <alignment horizontal="right"/>
    </xf>
    <xf numFmtId="0" fontId="62" fillId="0" borderId="0" xfId="5" applyFont="1" applyFill="1" applyAlignment="1" applyProtection="1">
      <alignment horizontal="left" vertical="center"/>
    </xf>
    <xf numFmtId="0" fontId="24" fillId="0" borderId="0" xfId="5" applyFont="1" applyFill="1" applyProtection="1"/>
    <xf numFmtId="0" fontId="63" fillId="0" borderId="0" xfId="5" applyFont="1" applyFill="1" applyAlignment="1" applyProtection="1">
      <alignment horizontal="left" vertical="center"/>
    </xf>
    <xf numFmtId="0" fontId="1" fillId="0" borderId="0" xfId="5" applyFill="1" applyAlignment="1" applyProtection="1">
      <alignment horizontal="left" vertical="center"/>
    </xf>
    <xf numFmtId="0" fontId="24" fillId="0" borderId="0" xfId="5" applyFont="1" applyFill="1" applyAlignment="1" applyProtection="1">
      <alignment vertical="center"/>
    </xf>
    <xf numFmtId="37" fontId="34" fillId="0" borderId="34" xfId="11" applyNumberFormat="1" applyFont="1" applyFill="1" applyBorder="1" applyAlignment="1" applyProtection="1">
      <alignment horizontal="right"/>
    </xf>
    <xf numFmtId="0" fontId="34" fillId="0" borderId="34" xfId="11" applyFont="1" applyFill="1" applyBorder="1" applyAlignment="1" applyProtection="1">
      <alignment horizontal="left" wrapText="1"/>
    </xf>
    <xf numFmtId="4" fontId="17" fillId="0" borderId="34" xfId="11" applyNumberFormat="1" applyFont="1" applyBorder="1" applyAlignment="1" applyProtection="1">
      <alignment horizontal="right"/>
    </xf>
    <xf numFmtId="0" fontId="64" fillId="0" borderId="0" xfId="11" applyFont="1" applyAlignment="1" applyProtection="1">
      <alignment horizontal="left" vertical="top"/>
    </xf>
    <xf numFmtId="0" fontId="25" fillId="0" borderId="34" xfId="11" applyFont="1" applyFill="1" applyBorder="1" applyAlignment="1" applyProtection="1">
      <alignment horizontal="left" wrapText="1"/>
    </xf>
    <xf numFmtId="0" fontId="64" fillId="0" borderId="34" xfId="11" applyFont="1" applyFill="1" applyBorder="1" applyAlignment="1" applyProtection="1">
      <alignment horizontal="left" vertical="top"/>
    </xf>
    <xf numFmtId="0" fontId="17" fillId="0" borderId="34" xfId="21" applyFont="1" applyFill="1" applyBorder="1" applyAlignment="1" applyProtection="1">
      <alignment horizontal="left" wrapText="1"/>
    </xf>
    <xf numFmtId="0" fontId="50" fillId="0" borderId="0" xfId="10" applyFont="1" applyFill="1" applyBorder="1" applyAlignment="1" applyProtection="1">
      <alignment horizontal="left"/>
    </xf>
    <xf numFmtId="0" fontId="37" fillId="0" borderId="0" xfId="5" applyFont="1" applyFill="1" applyAlignment="1" applyProtection="1">
      <alignment vertical="top" wrapText="1"/>
    </xf>
    <xf numFmtId="0" fontId="17" fillId="0" borderId="0" xfId="5" applyFont="1" applyFill="1" applyAlignment="1" applyProtection="1">
      <alignment horizontal="left" wrapText="1"/>
    </xf>
    <xf numFmtId="0" fontId="11" fillId="0" borderId="0" xfId="5" applyFont="1" applyFill="1" applyAlignment="1" applyProtection="1">
      <alignment horizontal="left" wrapText="1"/>
    </xf>
    <xf numFmtId="2" fontId="11" fillId="0" borderId="0" xfId="5" applyNumberFormat="1" applyFont="1" applyFill="1" applyAlignment="1" applyProtection="1">
      <alignment horizontal="right"/>
    </xf>
    <xf numFmtId="37" fontId="58" fillId="0" borderId="34" xfId="5" applyNumberFormat="1" applyFont="1" applyFill="1" applyBorder="1" applyAlignment="1" applyProtection="1">
      <alignment horizontal="right"/>
    </xf>
    <xf numFmtId="49" fontId="58" fillId="0" borderId="34" xfId="5" applyNumberFormat="1" applyFont="1" applyFill="1" applyBorder="1" applyAlignment="1" applyProtection="1">
      <alignment horizontal="left" wrapText="1"/>
    </xf>
    <xf numFmtId="0" fontId="58" fillId="0" borderId="34" xfId="5" applyFont="1" applyFill="1" applyBorder="1" applyAlignment="1" applyProtection="1">
      <alignment horizontal="left" wrapText="1"/>
    </xf>
    <xf numFmtId="2" fontId="25" fillId="0" borderId="34" xfId="5" applyNumberFormat="1" applyFont="1" applyFill="1" applyBorder="1" applyAlignment="1" applyProtection="1">
      <alignment horizontal="right"/>
    </xf>
    <xf numFmtId="0" fontId="71" fillId="0" borderId="34" xfId="5" applyFont="1" applyFill="1" applyBorder="1" applyAlignment="1" applyProtection="1">
      <alignment horizontal="right" vertical="center"/>
    </xf>
    <xf numFmtId="0" fontId="30" fillId="0" borderId="0" xfId="5" applyFont="1" applyFill="1" applyAlignment="1" applyProtection="1">
      <alignment horizontal="left" vertical="center"/>
    </xf>
    <xf numFmtId="4" fontId="34" fillId="0" borderId="34" xfId="5" applyNumberFormat="1" applyFont="1" applyBorder="1" applyAlignment="1" applyProtection="1">
      <alignment horizontal="right"/>
    </xf>
    <xf numFmtId="0" fontId="19" fillId="0" borderId="0" xfId="5" applyFont="1" applyFill="1" applyAlignment="1" applyProtection="1">
      <alignment horizontal="right" vertical="center"/>
    </xf>
    <xf numFmtId="0" fontId="19" fillId="0" borderId="0" xfId="5" applyFont="1" applyFill="1" applyAlignment="1" applyProtection="1">
      <alignment horizontal="left" vertical="center"/>
    </xf>
    <xf numFmtId="37" fontId="34" fillId="0" borderId="34" xfId="0" applyNumberFormat="1" applyFont="1" applyFill="1" applyBorder="1" applyAlignment="1" applyProtection="1">
      <alignment horizontal="right"/>
    </xf>
    <xf numFmtId="49" fontId="58" fillId="0" borderId="34" xfId="0" applyNumberFormat="1" applyFont="1" applyFill="1" applyBorder="1" applyAlignment="1" applyProtection="1">
      <alignment horizontal="left" wrapText="1"/>
    </xf>
    <xf numFmtId="0" fontId="34" fillId="0" borderId="34" xfId="0" applyFont="1" applyFill="1" applyBorder="1" applyAlignment="1" applyProtection="1">
      <alignment horizontal="left" wrapText="1"/>
    </xf>
    <xf numFmtId="39" fontId="17" fillId="0" borderId="34" xfId="13" applyNumberFormat="1" applyFont="1" applyBorder="1" applyAlignment="1" applyProtection="1">
      <alignment horizontal="right"/>
    </xf>
    <xf numFmtId="0" fontId="19" fillId="0" borderId="0" xfId="0" applyFont="1" applyFill="1" applyAlignment="1" applyProtection="1">
      <alignment horizontal="right" vertical="center"/>
    </xf>
    <xf numFmtId="0" fontId="19" fillId="0" borderId="0" xfId="0" applyFont="1" applyFill="1" applyAlignment="1" applyProtection="1">
      <alignment horizontal="left" vertical="center"/>
    </xf>
    <xf numFmtId="37" fontId="11" fillId="0" borderId="0" xfId="0" applyNumberFormat="1" applyFont="1" applyFill="1" applyAlignment="1" applyProtection="1">
      <alignment horizontal="right" vertical="center"/>
    </xf>
    <xf numFmtId="0" fontId="11" fillId="0" borderId="0" xfId="0" applyFont="1" applyFill="1" applyAlignment="1" applyProtection="1">
      <alignment horizontal="left" vertical="center" wrapText="1"/>
    </xf>
    <xf numFmtId="0" fontId="17" fillId="0" borderId="0" xfId="0" applyFont="1" applyFill="1" applyAlignment="1" applyProtection="1">
      <alignment horizontal="left" vertical="center" wrapText="1"/>
    </xf>
    <xf numFmtId="0" fontId="19" fillId="0" borderId="0" xfId="35" applyFont="1" applyFill="1" applyAlignment="1" applyProtection="1">
      <alignment horizontal="left" vertical="top"/>
    </xf>
    <xf numFmtId="0" fontId="11" fillId="0" borderId="0" xfId="5" applyFont="1" applyFill="1" applyAlignment="1" applyProtection="1">
      <alignment horizontal="left" vertical="center"/>
    </xf>
    <xf numFmtId="0" fontId="72" fillId="0" borderId="34" xfId="5" applyFont="1" applyFill="1" applyBorder="1" applyAlignment="1" applyProtection="1">
      <alignment horizontal="left" wrapText="1"/>
    </xf>
    <xf numFmtId="4" fontId="72" fillId="0" borderId="34" xfId="5" applyNumberFormat="1" applyFont="1" applyFill="1" applyBorder="1" applyAlignment="1" applyProtection="1">
      <alignment horizontal="right"/>
    </xf>
    <xf numFmtId="0" fontId="68" fillId="0" borderId="34" xfId="5" applyFont="1" applyFill="1" applyBorder="1" applyAlignment="1" applyProtection="1">
      <alignment horizontal="left" vertical="top"/>
    </xf>
    <xf numFmtId="1" fontId="11" fillId="0" borderId="34" xfId="35" applyNumberFormat="1" applyFont="1" applyFill="1" applyBorder="1" applyAlignment="1" applyProtection="1">
      <alignment horizontal="right" wrapText="1"/>
    </xf>
    <xf numFmtId="2" fontId="11" fillId="0" borderId="34" xfId="35" applyNumberFormat="1" applyFont="1" applyFill="1" applyBorder="1" applyAlignment="1" applyProtection="1">
      <alignment horizontal="right"/>
    </xf>
    <xf numFmtId="39" fontId="11" fillId="0" borderId="34" xfId="35" applyNumberFormat="1" applyFont="1" applyFill="1" applyBorder="1" applyAlignment="1" applyProtection="1">
      <alignment horizontal="center"/>
    </xf>
    <xf numFmtId="0" fontId="35" fillId="0" borderId="0" xfId="5" applyFont="1" applyFill="1" applyAlignment="1" applyProtection="1">
      <alignment horizontal="left" vertical="center"/>
    </xf>
    <xf numFmtId="0" fontId="17" fillId="0" borderId="34" xfId="35" applyFont="1" applyFill="1" applyBorder="1" applyAlignment="1" applyProtection="1">
      <alignment horizontal="left" vertical="center" wrapText="1"/>
    </xf>
    <xf numFmtId="0" fontId="1" fillId="0" borderId="0" xfId="35" applyFill="1" applyAlignment="1" applyProtection="1">
      <alignment vertical="top"/>
    </xf>
    <xf numFmtId="0" fontId="1" fillId="0" borderId="0" xfId="35" applyAlignment="1" applyProtection="1">
      <alignment vertical="top"/>
    </xf>
    <xf numFmtId="1" fontId="25" fillId="0" borderId="34" xfId="35" applyNumberFormat="1" applyFont="1" applyFill="1" applyBorder="1" applyAlignment="1" applyProtection="1">
      <alignment horizontal="right"/>
    </xf>
    <xf numFmtId="49" fontId="25" fillId="0" borderId="34" xfId="35" applyNumberFormat="1" applyFont="1" applyFill="1" applyBorder="1" applyAlignment="1" applyProtection="1">
      <alignment horizontal="left" wrapText="1"/>
    </xf>
    <xf numFmtId="0" fontId="25" fillId="0" borderId="34" xfId="35" applyFont="1" applyFill="1" applyBorder="1" applyAlignment="1" applyProtection="1">
      <alignment horizontal="left" wrapText="1"/>
    </xf>
    <xf numFmtId="2" fontId="42" fillId="0" borderId="34" xfId="35" applyNumberFormat="1" applyFont="1" applyFill="1" applyBorder="1" applyAlignment="1" applyProtection="1">
      <alignment horizontal="right" wrapText="1"/>
    </xf>
    <xf numFmtId="4" fontId="25" fillId="0" borderId="34" xfId="35" applyNumberFormat="1" applyFont="1" applyFill="1" applyBorder="1" applyAlignment="1" applyProtection="1">
      <alignment horizontal="right"/>
    </xf>
    <xf numFmtId="0" fontId="1" fillId="0" borderId="34" xfId="35" applyFill="1" applyBorder="1" applyAlignment="1" applyProtection="1">
      <alignment horizontal="left" vertical="top"/>
    </xf>
    <xf numFmtId="39" fontId="11" fillId="0" borderId="34" xfId="0" applyNumberFormat="1" applyFont="1" applyFill="1" applyBorder="1" applyAlignment="1" applyProtection="1">
      <alignment horizontal="right"/>
    </xf>
    <xf numFmtId="0" fontId="44" fillId="0" borderId="0" xfId="14" applyFont="1" applyFill="1" applyAlignment="1" applyProtection="1">
      <alignment horizontal="right" vertical="center"/>
    </xf>
    <xf numFmtId="37" fontId="11" fillId="0" borderId="0" xfId="14" applyNumberFormat="1" applyFont="1" applyFill="1" applyAlignment="1" applyProtection="1">
      <alignment horizontal="left" vertical="center"/>
    </xf>
    <xf numFmtId="0" fontId="11" fillId="0" borderId="0" xfId="14" applyFont="1" applyFill="1" applyAlignment="1" applyProtection="1">
      <alignment horizontal="left" wrapText="1"/>
    </xf>
    <xf numFmtId="0" fontId="21" fillId="0" borderId="0" xfId="14" applyFont="1" applyFill="1" applyAlignment="1" applyProtection="1">
      <alignment horizontal="left" wrapText="1"/>
    </xf>
    <xf numFmtId="2" fontId="21" fillId="0" borderId="0" xfId="14" applyNumberFormat="1" applyFont="1" applyFill="1" applyAlignment="1" applyProtection="1">
      <alignment horizontal="right"/>
    </xf>
    <xf numFmtId="39" fontId="21" fillId="0" borderId="0" xfId="14" applyNumberFormat="1" applyFont="1" applyFill="1" applyAlignment="1" applyProtection="1">
      <alignment horizontal="right"/>
    </xf>
    <xf numFmtId="0" fontId="19" fillId="0" borderId="34" xfId="0" applyFont="1" applyFill="1" applyBorder="1" applyAlignment="1" applyProtection="1">
      <alignment vertical="top"/>
    </xf>
    <xf numFmtId="0" fontId="84" fillId="0" borderId="0" xfId="0" applyFont="1" applyFill="1" applyAlignment="1" applyProtection="1">
      <alignment horizontal="left" vertical="center" wrapText="1"/>
    </xf>
    <xf numFmtId="0" fontId="0" fillId="0" borderId="0" xfId="0" applyFill="1" applyAlignment="1" applyProtection="1">
      <alignment horizontal="right" vertical="center"/>
    </xf>
    <xf numFmtId="0" fontId="80" fillId="0" borderId="34" xfId="0" applyFont="1" applyFill="1" applyBorder="1" applyAlignment="1" applyProtection="1">
      <alignment vertical="top" wrapText="1"/>
    </xf>
    <xf numFmtId="0" fontId="80" fillId="0" borderId="34" xfId="0" applyFont="1" applyFill="1" applyBorder="1" applyAlignment="1" applyProtection="1">
      <alignment horizontal="right" vertical="center"/>
    </xf>
    <xf numFmtId="0" fontId="44" fillId="0" borderId="0" xfId="0" applyFont="1" applyFill="1" applyAlignment="1" applyProtection="1">
      <alignment horizontal="right" vertical="center"/>
    </xf>
    <xf numFmtId="37" fontId="11" fillId="0" borderId="0" xfId="0" applyNumberFormat="1" applyFont="1" applyFill="1" applyAlignment="1" applyProtection="1">
      <alignment horizontal="left" vertical="center"/>
    </xf>
    <xf numFmtId="0" fontId="21" fillId="0" borderId="0" xfId="0" applyFont="1" applyFill="1" applyAlignment="1" applyProtection="1">
      <alignment horizontal="left" vertical="center" wrapText="1"/>
    </xf>
    <xf numFmtId="2" fontId="21" fillId="0" borderId="0" xfId="0" applyNumberFormat="1" applyFont="1" applyFill="1" applyAlignment="1" applyProtection="1">
      <alignment horizontal="right" vertical="center"/>
    </xf>
    <xf numFmtId="39" fontId="21" fillId="0" borderId="0" xfId="0" applyNumberFormat="1" applyFont="1" applyFill="1" applyAlignment="1" applyProtection="1">
      <alignment horizontal="right" vertical="center"/>
    </xf>
    <xf numFmtId="2" fontId="17" fillId="0" borderId="34" xfId="5" applyNumberFormat="1" applyFont="1" applyFill="1" applyBorder="1" applyAlignment="1" applyProtection="1">
      <alignment horizontal="right" wrapText="1"/>
    </xf>
    <xf numFmtId="4" fontId="25" fillId="0" borderId="34" xfId="5" applyNumberFormat="1" applyFont="1" applyBorder="1" applyAlignment="1" applyProtection="1">
      <alignment horizontal="right"/>
    </xf>
    <xf numFmtId="2" fontId="11" fillId="0" borderId="34" xfId="5" applyNumberFormat="1" applyFont="1" applyFill="1" applyBorder="1" applyAlignment="1" applyProtection="1">
      <alignment horizontal="center"/>
    </xf>
    <xf numFmtId="37" fontId="17" fillId="0" borderId="34" xfId="5" applyNumberFormat="1" applyFont="1" applyFill="1" applyBorder="1" applyAlignment="1" applyProtection="1">
      <alignment horizontal="right"/>
    </xf>
    <xf numFmtId="2" fontId="42" fillId="0" borderId="34" xfId="5" applyNumberFormat="1" applyFont="1" applyFill="1" applyBorder="1" applyAlignment="1" applyProtection="1">
      <alignment horizontal="right" wrapText="1"/>
    </xf>
    <xf numFmtId="0" fontId="19" fillId="0" borderId="0" xfId="14" applyFont="1" applyFill="1" applyAlignment="1" applyProtection="1">
      <alignment horizontal="left" vertical="center"/>
    </xf>
    <xf numFmtId="4" fontId="17" fillId="5" borderId="34" xfId="5" applyNumberFormat="1" applyFont="1" applyFill="1" applyBorder="1" applyAlignment="1" applyProtection="1">
      <alignment horizontal="right"/>
    </xf>
    <xf numFmtId="2" fontId="1" fillId="0" borderId="34" xfId="5" applyNumberFormat="1" applyFill="1" applyBorder="1" applyAlignment="1" applyProtection="1">
      <alignment horizontal="left" vertical="top"/>
    </xf>
    <xf numFmtId="2" fontId="0" fillId="0" borderId="0" xfId="0" applyNumberFormat="1" applyFill="1" applyAlignment="1" applyProtection="1">
      <alignment horizontal="left" vertical="center"/>
    </xf>
    <xf numFmtId="4" fontId="25" fillId="5" borderId="34" xfId="5" applyNumberFormat="1" applyFont="1" applyFill="1" applyBorder="1" applyAlignment="1" applyProtection="1">
      <alignment horizontal="right"/>
    </xf>
    <xf numFmtId="4" fontId="1" fillId="0" borderId="0" xfId="5" applyNumberFormat="1" applyAlignment="1" applyProtection="1">
      <alignment vertical="top"/>
    </xf>
    <xf numFmtId="4" fontId="21" fillId="0" borderId="34" xfId="5" applyNumberFormat="1" applyFont="1" applyBorder="1" applyAlignment="1" applyProtection="1">
      <alignment horizontal="right"/>
    </xf>
    <xf numFmtId="4" fontId="11" fillId="0" borderId="34" xfId="35" applyNumberFormat="1" applyFont="1" applyFill="1" applyBorder="1" applyAlignment="1" applyProtection="1">
      <alignment shrinkToFit="1"/>
    </xf>
    <xf numFmtId="0" fontId="41" fillId="0" borderId="0" xfId="12" applyFont="1" applyFill="1" applyAlignment="1" applyProtection="1">
      <alignment horizontal="left" vertical="center"/>
    </xf>
    <xf numFmtId="0" fontId="40" fillId="0" borderId="0" xfId="28" applyFont="1" applyFill="1" applyAlignment="1" applyProtection="1">
      <alignment horizontal="left" vertical="center"/>
    </xf>
    <xf numFmtId="37" fontId="11" fillId="0" borderId="34" xfId="0" applyNumberFormat="1" applyFont="1" applyBorder="1" applyAlignment="1" applyProtection="1">
      <alignment horizontal="right"/>
    </xf>
    <xf numFmtId="0" fontId="21" fillId="0" borderId="34" xfId="0" applyFont="1" applyBorder="1" applyAlignment="1" applyProtection="1">
      <alignment horizontal="left" wrapText="1"/>
    </xf>
    <xf numFmtId="2" fontId="21" fillId="0" borderId="34" xfId="0" applyNumberFormat="1" applyFont="1" applyBorder="1" applyAlignment="1" applyProtection="1">
      <alignment horizontal="right"/>
    </xf>
    <xf numFmtId="4" fontId="21" fillId="0" borderId="34" xfId="0" applyNumberFormat="1" applyFont="1" applyBorder="1" applyAlignment="1" applyProtection="1">
      <alignment horizontal="right"/>
    </xf>
    <xf numFmtId="39" fontId="65" fillId="0" borderId="34" xfId="0" applyNumberFormat="1" applyFont="1" applyFill="1" applyBorder="1" applyAlignment="1" applyProtection="1">
      <alignment horizontal="center"/>
    </xf>
    <xf numFmtId="0" fontId="33" fillId="0" borderId="0" xfId="5" applyFont="1" applyFill="1" applyAlignment="1" applyProtection="1">
      <alignment vertical="center"/>
    </xf>
    <xf numFmtId="0" fontId="36" fillId="0" borderId="0" xfId="5" applyFont="1" applyFill="1" applyProtection="1"/>
    <xf numFmtId="0" fontId="0" fillId="0" borderId="0" xfId="0" applyFill="1" applyProtection="1"/>
    <xf numFmtId="0" fontId="0" fillId="0" borderId="0" xfId="0" applyProtection="1"/>
    <xf numFmtId="0" fontId="67" fillId="0" borderId="0" xfId="0" applyFont="1" applyFill="1" applyAlignment="1" applyProtection="1">
      <alignment horizontal="right"/>
    </xf>
    <xf numFmtId="39" fontId="52" fillId="0" borderId="0" xfId="0" applyNumberFormat="1" applyFont="1" applyFill="1" applyAlignment="1" applyProtection="1">
      <alignment horizontal="right"/>
    </xf>
    <xf numFmtId="0" fontId="0" fillId="0" borderId="0" xfId="0" applyFill="1" applyAlignment="1" applyProtection="1">
      <alignment horizontal="left"/>
    </xf>
    <xf numFmtId="0" fontId="19" fillId="0" borderId="0" xfId="9" applyFill="1" applyAlignment="1" applyProtection="1">
      <alignment horizontal="left"/>
    </xf>
    <xf numFmtId="0" fontId="52" fillId="0" borderId="0" xfId="5" applyFont="1" applyFill="1" applyAlignment="1" applyProtection="1">
      <alignment horizontal="left" vertical="center"/>
    </xf>
    <xf numFmtId="4" fontId="33" fillId="0" borderId="34" xfId="11" applyNumberFormat="1" applyFont="1" applyFill="1" applyBorder="1" applyAlignment="1" applyProtection="1">
      <alignment horizontal="right" vertical="center"/>
    </xf>
    <xf numFmtId="39" fontId="21" fillId="0" borderId="34" xfId="5" applyNumberFormat="1" applyFont="1" applyFill="1" applyBorder="1" applyAlignment="1" applyProtection="1">
      <alignment horizontal="right" vertical="center"/>
    </xf>
    <xf numFmtId="37" fontId="11" fillId="0" borderId="34" xfId="0" applyNumberFormat="1" applyFont="1" applyFill="1" applyBorder="1" applyAlignment="1" applyProtection="1">
      <alignment horizontal="right" vertical="center"/>
    </xf>
    <xf numFmtId="0" fontId="21" fillId="0" borderId="34" xfId="0" applyFont="1" applyFill="1" applyBorder="1" applyAlignment="1" applyProtection="1">
      <alignment horizontal="left" vertical="center" wrapText="1"/>
    </xf>
    <xf numFmtId="2" fontId="21" fillId="0" borderId="34" xfId="0" applyNumberFormat="1" applyFont="1" applyFill="1" applyBorder="1" applyAlignment="1" applyProtection="1">
      <alignment horizontal="right" vertical="center"/>
    </xf>
    <xf numFmtId="4" fontId="21" fillId="0" borderId="34" xfId="0" applyNumberFormat="1" applyFont="1" applyFill="1" applyBorder="1" applyAlignment="1" applyProtection="1">
      <alignment horizontal="right" vertical="center"/>
    </xf>
    <xf numFmtId="0" fontId="0" fillId="0" borderId="34" xfId="0" applyFill="1" applyBorder="1" applyAlignment="1" applyProtection="1">
      <alignment horizontal="left" vertical="center"/>
    </xf>
    <xf numFmtId="0" fontId="0" fillId="0" borderId="0" xfId="0" applyAlignment="1" applyProtection="1">
      <alignment vertical="center"/>
    </xf>
    <xf numFmtId="37" fontId="29" fillId="0" borderId="0" xfId="7" applyNumberFormat="1" applyFont="1" applyAlignment="1" applyProtection="1">
      <alignment horizontal="right"/>
    </xf>
    <xf numFmtId="0" fontId="29" fillId="0" borderId="0" xfId="7" applyFont="1" applyAlignment="1" applyProtection="1">
      <alignment horizontal="left" wrapText="1"/>
    </xf>
    <xf numFmtId="165" fontId="29" fillId="0" borderId="0" xfId="7" applyNumberFormat="1" applyFont="1" applyAlignment="1" applyProtection="1">
      <alignment horizontal="right"/>
    </xf>
    <xf numFmtId="39" fontId="29" fillId="0" borderId="0" xfId="7" applyNumberFormat="1" applyFont="1" applyAlignment="1" applyProtection="1">
      <alignment horizontal="right"/>
    </xf>
    <xf numFmtId="37" fontId="19" fillId="0" borderId="0" xfId="7" applyNumberFormat="1" applyAlignment="1" applyProtection="1">
      <alignment horizontal="right" vertical="top"/>
    </xf>
    <xf numFmtId="0" fontId="19" fillId="0" borderId="0" xfId="7" applyAlignment="1" applyProtection="1">
      <alignment horizontal="left" vertical="top" wrapText="1"/>
    </xf>
    <xf numFmtId="165" fontId="19" fillId="0" borderId="0" xfId="7" applyNumberFormat="1" applyAlignment="1" applyProtection="1">
      <alignment horizontal="right" vertical="top"/>
    </xf>
    <xf numFmtId="39" fontId="19" fillId="0" borderId="0" xfId="7" applyNumberFormat="1" applyAlignment="1" applyProtection="1">
      <alignment horizontal="right" vertical="top"/>
    </xf>
    <xf numFmtId="37" fontId="21" fillId="0" borderId="36" xfId="7" applyNumberFormat="1" applyFont="1" applyBorder="1" applyAlignment="1" applyProtection="1">
      <alignment horizontal="center"/>
    </xf>
    <xf numFmtId="0" fontId="27" fillId="0" borderId="37" xfId="7" applyFont="1" applyBorder="1" applyAlignment="1" applyProtection="1">
      <alignment horizontal="center"/>
    </xf>
    <xf numFmtId="0" fontId="27" fillId="0" borderId="38" xfId="7" applyFont="1" applyBorder="1" applyAlignment="1" applyProtection="1">
      <alignment horizontal="center"/>
    </xf>
    <xf numFmtId="0" fontId="21" fillId="0" borderId="36" xfId="7" applyFont="1" applyBorder="1" applyAlignment="1" applyProtection="1">
      <alignment horizontal="left"/>
    </xf>
    <xf numFmtId="0" fontId="25" fillId="0" borderId="37" xfId="7" applyFont="1" applyBorder="1" applyAlignment="1" applyProtection="1">
      <alignment horizontal="center"/>
    </xf>
    <xf numFmtId="165" fontId="25" fillId="0" borderId="37" xfId="7" applyNumberFormat="1" applyFont="1" applyBorder="1" applyAlignment="1" applyProtection="1">
      <alignment horizontal="right"/>
    </xf>
    <xf numFmtId="39" fontId="25" fillId="0" borderId="37" xfId="7" applyNumberFormat="1" applyFont="1" applyBorder="1" applyAlignment="1" applyProtection="1">
      <alignment horizontal="right"/>
    </xf>
    <xf numFmtId="39" fontId="21" fillId="0" borderId="33" xfId="7" applyNumberFormat="1" applyFont="1" applyBorder="1" applyAlignment="1" applyProtection="1">
      <alignment horizontal="right"/>
    </xf>
    <xf numFmtId="37" fontId="25" fillId="0" borderId="0" xfId="7" applyNumberFormat="1" applyFont="1" applyAlignment="1" applyProtection="1">
      <alignment horizontal="right"/>
    </xf>
    <xf numFmtId="0" fontId="25" fillId="0" borderId="0" xfId="7" applyFont="1" applyAlignment="1" applyProtection="1">
      <alignment horizontal="left" wrapText="1"/>
    </xf>
    <xf numFmtId="0" fontId="11" fillId="0" borderId="0" xfId="7" applyFont="1" applyAlignment="1" applyProtection="1">
      <alignment horizontal="left" wrapText="1"/>
    </xf>
    <xf numFmtId="0" fontId="25" fillId="0" borderId="0" xfId="7" applyFont="1" applyAlignment="1" applyProtection="1">
      <alignment horizontal="center" wrapText="1"/>
    </xf>
    <xf numFmtId="165" fontId="25" fillId="0" borderId="0" xfId="7" applyNumberFormat="1" applyFont="1" applyAlignment="1" applyProtection="1">
      <alignment horizontal="right"/>
    </xf>
    <xf numFmtId="39" fontId="25" fillId="0" borderId="0" xfId="7" applyNumberFormat="1" applyFont="1" applyAlignment="1" applyProtection="1">
      <alignment horizontal="right"/>
    </xf>
    <xf numFmtId="39" fontId="11" fillId="0" borderId="0" xfId="7" applyNumberFormat="1" applyFont="1" applyAlignment="1" applyProtection="1">
      <alignment horizontal="right"/>
    </xf>
    <xf numFmtId="0" fontId="19" fillId="0" borderId="0" xfId="11" applyFill="1" applyAlignment="1" applyProtection="1">
      <alignment horizontal="left" vertical="center"/>
    </xf>
    <xf numFmtId="4" fontId="17" fillId="6" borderId="34" xfId="11" applyNumberFormat="1" applyFont="1" applyFill="1" applyBorder="1" applyAlignment="1" applyProtection="1">
      <alignment horizontal="right"/>
      <protection locked="0"/>
    </xf>
    <xf numFmtId="0" fontId="35" fillId="0" borderId="0" xfId="7" applyFont="1" applyFill="1" applyAlignment="1" applyProtection="1">
      <alignment horizontal="left" vertical="top"/>
    </xf>
    <xf numFmtId="0" fontId="94" fillId="0" borderId="0" xfId="7" applyFont="1" applyFill="1" applyAlignment="1" applyProtection="1">
      <alignment horizontal="left"/>
    </xf>
    <xf numFmtId="0" fontId="98" fillId="0" borderId="0" xfId="7" applyFont="1" applyFill="1" applyAlignment="1" applyProtection="1">
      <alignment horizontal="left" vertical="top"/>
    </xf>
    <xf numFmtId="0" fontId="57" fillId="0" borderId="0" xfId="24" applyFont="1" applyFill="1" applyAlignment="1" applyProtection="1">
      <alignment horizontal="left" vertical="center"/>
    </xf>
    <xf numFmtId="0" fontId="80" fillId="0" borderId="0" xfId="0" applyFont="1" applyFill="1" applyAlignment="1" applyProtection="1">
      <alignment vertical="center"/>
    </xf>
    <xf numFmtId="0" fontId="1" fillId="0" borderId="0" xfId="24" applyFont="1" applyFill="1" applyAlignment="1" applyProtection="1">
      <alignment vertical="top"/>
    </xf>
    <xf numFmtId="2" fontId="1" fillId="0" borderId="0" xfId="24" applyNumberFormat="1" applyFont="1" applyFill="1" applyAlignment="1" applyProtection="1">
      <alignment horizontal="left" vertical="top"/>
    </xf>
    <xf numFmtId="0" fontId="108" fillId="0" borderId="0" xfId="0" applyFont="1" applyFill="1" applyAlignment="1" applyProtection="1">
      <alignment vertical="center"/>
    </xf>
    <xf numFmtId="0" fontId="108" fillId="0" borderId="0" xfId="0" applyFont="1" applyFill="1" applyAlignment="1" applyProtection="1">
      <alignment horizontal="left" vertical="top"/>
    </xf>
    <xf numFmtId="0" fontId="94" fillId="0" borderId="0" xfId="8" applyFont="1" applyFill="1" applyAlignment="1" applyProtection="1">
      <alignment horizontal="left" vertical="center"/>
    </xf>
    <xf numFmtId="4" fontId="25" fillId="0" borderId="34" xfId="13" applyNumberFormat="1" applyFont="1" applyFill="1" applyBorder="1" applyAlignment="1" applyProtection="1">
      <alignment horizontal="right"/>
    </xf>
    <xf numFmtId="0" fontId="19" fillId="0" borderId="34" xfId="7" applyBorder="1" applyAlignment="1" applyProtection="1">
      <alignment vertical="top"/>
    </xf>
    <xf numFmtId="2" fontId="11" fillId="0" borderId="34" xfId="24" applyNumberFormat="1" applyFont="1" applyFill="1" applyBorder="1" applyAlignment="1" applyProtection="1">
      <alignment horizontal="right" wrapText="1"/>
    </xf>
    <xf numFmtId="39" fontId="17" fillId="0" borderId="34" xfId="13" applyNumberFormat="1" applyFont="1" applyFill="1" applyBorder="1" applyAlignment="1" applyProtection="1">
      <alignment horizontal="right"/>
    </xf>
    <xf numFmtId="0" fontId="41" fillId="0" borderId="0" xfId="24" applyFont="1" applyFill="1" applyAlignment="1" applyProtection="1">
      <alignment horizontal="left" vertical="center"/>
    </xf>
    <xf numFmtId="0" fontId="40" fillId="0" borderId="0" xfId="14" applyFont="1" applyFill="1" applyAlignment="1" applyProtection="1">
      <alignment horizontal="left" vertical="center"/>
    </xf>
    <xf numFmtId="2" fontId="17" fillId="0" borderId="35" xfId="5" applyNumberFormat="1" applyFont="1" applyFill="1" applyBorder="1" applyAlignment="1" applyProtection="1">
      <alignment horizontal="center" vertical="center" wrapText="1"/>
    </xf>
    <xf numFmtId="2" fontId="17" fillId="0" borderId="42" xfId="5" applyNumberFormat="1" applyFont="1" applyFill="1" applyBorder="1" applyAlignment="1" applyProtection="1">
      <alignment horizontal="center" vertical="center" wrapText="1"/>
    </xf>
    <xf numFmtId="2" fontId="17" fillId="0" borderId="41" xfId="5" applyNumberFormat="1" applyFont="1" applyFill="1" applyBorder="1" applyAlignment="1" applyProtection="1">
      <alignment horizontal="center" vertical="center" wrapText="1"/>
    </xf>
    <xf numFmtId="0" fontId="122" fillId="0" borderId="0" xfId="0" applyFont="1" applyFill="1" applyAlignment="1" applyProtection="1">
      <alignment horizontal="left" vertical="center"/>
    </xf>
    <xf numFmtId="0" fontId="36" fillId="0" borderId="0" xfId="5" applyFont="1" applyFill="1" applyAlignment="1" applyProtection="1">
      <alignment horizontal="left" vertical="center"/>
    </xf>
    <xf numFmtId="0" fontId="62" fillId="0" borderId="0" xfId="0" applyFont="1" applyFill="1" applyAlignment="1" applyProtection="1">
      <alignment horizontal="left" vertical="center"/>
    </xf>
    <xf numFmtId="4" fontId="60" fillId="0" borderId="0" xfId="5" applyNumberFormat="1" applyFont="1" applyFill="1" applyAlignment="1" applyProtection="1">
      <alignment horizontal="left" vertical="center"/>
    </xf>
    <xf numFmtId="0" fontId="28" fillId="0" borderId="0" xfId="12" applyFont="1" applyFill="1" applyAlignment="1" applyProtection="1">
      <alignment horizontal="left" vertical="center"/>
    </xf>
    <xf numFmtId="37" fontId="46" fillId="0" borderId="0" xfId="5" applyNumberFormat="1" applyFont="1" applyFill="1" applyAlignment="1" applyProtection="1">
      <alignment horizontal="right"/>
    </xf>
    <xf numFmtId="0" fontId="46" fillId="0" borderId="0" xfId="5" applyFont="1" applyFill="1" applyAlignment="1" applyProtection="1">
      <alignment horizontal="left" wrapText="1"/>
    </xf>
    <xf numFmtId="0" fontId="48" fillId="0" borderId="0" xfId="5" applyFont="1" applyFill="1" applyAlignment="1" applyProtection="1">
      <alignment horizontal="left" wrapText="1"/>
    </xf>
    <xf numFmtId="2" fontId="46" fillId="0" borderId="0" xfId="5" applyNumberFormat="1" applyFont="1" applyFill="1" applyAlignment="1" applyProtection="1">
      <alignment horizontal="right"/>
    </xf>
    <xf numFmtId="39" fontId="46" fillId="0" borderId="0" xfId="5" applyNumberFormat="1" applyFont="1" applyFill="1" applyAlignment="1" applyProtection="1">
      <alignment horizontal="right"/>
    </xf>
    <xf numFmtId="0" fontId="61" fillId="0" borderId="0" xfId="5" applyFont="1" applyFill="1" applyAlignment="1" applyProtection="1">
      <alignment horizontal="right" vertical="center"/>
    </xf>
    <xf numFmtId="4" fontId="61" fillId="0" borderId="0" xfId="5" applyNumberFormat="1" applyFont="1" applyFill="1" applyAlignment="1" applyProtection="1">
      <alignment horizontal="right" vertical="center"/>
    </xf>
    <xf numFmtId="0" fontId="21" fillId="0" borderId="34" xfId="5" applyFont="1" applyBorder="1" applyAlignment="1" applyProtection="1">
      <alignment horizontal="left" wrapText="1"/>
    </xf>
    <xf numFmtId="4" fontId="72" fillId="0" borderId="34" xfId="5" applyNumberFormat="1" applyFont="1" applyBorder="1" applyAlignment="1" applyProtection="1">
      <alignment horizontal="right"/>
    </xf>
    <xf numFmtId="49" fontId="11" fillId="0" borderId="34" xfId="35" applyNumberFormat="1" applyFont="1" applyFill="1" applyBorder="1" applyAlignment="1" applyProtection="1">
      <alignment horizontal="right" wrapText="1"/>
    </xf>
    <xf numFmtId="4" fontId="11" fillId="0" borderId="34" xfId="35" applyNumberFormat="1" applyFont="1" applyBorder="1" applyAlignment="1" applyProtection="1">
      <alignment horizontal="right"/>
    </xf>
    <xf numFmtId="0" fontId="26" fillId="0" borderId="0" xfId="10" applyFill="1" applyBorder="1" applyAlignment="1" applyProtection="1">
      <alignment horizontal="left"/>
    </xf>
    <xf numFmtId="37" fontId="58" fillId="0" borderId="34" xfId="35" applyNumberFormat="1" applyFont="1" applyFill="1" applyBorder="1" applyAlignment="1" applyProtection="1">
      <alignment horizontal="right"/>
    </xf>
    <xf numFmtId="49" fontId="58" fillId="0" borderId="34" xfId="35" applyNumberFormat="1" applyFont="1" applyFill="1" applyBorder="1" applyAlignment="1" applyProtection="1">
      <alignment horizontal="left" wrapText="1"/>
    </xf>
    <xf numFmtId="0" fontId="58" fillId="0" borderId="34" xfId="35" applyFont="1" applyFill="1" applyBorder="1" applyAlignment="1" applyProtection="1">
      <alignment horizontal="left" wrapText="1"/>
    </xf>
    <xf numFmtId="2" fontId="25" fillId="0" borderId="34" xfId="35" applyNumberFormat="1" applyFont="1" applyFill="1" applyBorder="1" applyAlignment="1" applyProtection="1">
      <alignment horizontal="right"/>
    </xf>
    <xf numFmtId="0" fontId="71" fillId="0" borderId="34" xfId="35" applyFont="1" applyFill="1" applyBorder="1" applyAlignment="1" applyProtection="1">
      <alignment horizontal="right" vertical="center"/>
    </xf>
    <xf numFmtId="0" fontId="19" fillId="0" borderId="0" xfId="35" applyFont="1" applyFill="1" applyAlignment="1" applyProtection="1">
      <alignment horizontal="right" vertical="center"/>
    </xf>
    <xf numFmtId="0" fontId="19" fillId="0" borderId="0" xfId="35" applyFont="1" applyFill="1" applyAlignment="1" applyProtection="1">
      <alignment horizontal="left" vertical="center"/>
    </xf>
    <xf numFmtId="37" fontId="11" fillId="0" borderId="0" xfId="35" applyNumberFormat="1" applyFont="1" applyFill="1" applyAlignment="1" applyProtection="1">
      <alignment horizontal="right" vertical="center"/>
    </xf>
    <xf numFmtId="0" fontId="11" fillId="0" borderId="0" xfId="35" applyFont="1" applyFill="1" applyAlignment="1" applyProtection="1">
      <alignment horizontal="left" vertical="center" wrapText="1"/>
    </xf>
    <xf numFmtId="0" fontId="17" fillId="0" borderId="0" xfId="35" applyFont="1" applyFill="1" applyAlignment="1" applyProtection="1">
      <alignment horizontal="left" vertical="center" wrapText="1"/>
    </xf>
    <xf numFmtId="2" fontId="11" fillId="0" borderId="0" xfId="35" applyNumberFormat="1" applyFont="1" applyFill="1" applyAlignment="1" applyProtection="1">
      <alignment horizontal="right" vertical="center"/>
    </xf>
    <xf numFmtId="37" fontId="34" fillId="0" borderId="34" xfId="35" applyNumberFormat="1" applyFont="1" applyFill="1" applyBorder="1" applyAlignment="1" applyProtection="1">
      <alignment horizontal="right"/>
    </xf>
    <xf numFmtId="0" fontId="34" fillId="0" borderId="34" xfId="35" applyFont="1" applyFill="1" applyBorder="1" applyAlignment="1" applyProtection="1">
      <alignment horizontal="left" wrapText="1"/>
    </xf>
    <xf numFmtId="37" fontId="82" fillId="0" borderId="34" xfId="35" applyNumberFormat="1" applyFont="1" applyFill="1" applyBorder="1" applyAlignment="1" applyProtection="1">
      <alignment horizontal="right"/>
    </xf>
    <xf numFmtId="49" fontId="46" fillId="0" borderId="34" xfId="35" applyNumberFormat="1" applyFont="1" applyFill="1" applyBorder="1" applyAlignment="1" applyProtection="1">
      <alignment horizontal="left" wrapText="1"/>
    </xf>
    <xf numFmtId="0" fontId="82" fillId="0" borderId="34" xfId="5" applyFont="1" applyFill="1" applyBorder="1" applyAlignment="1" applyProtection="1">
      <alignment horizontal="left" wrapText="1"/>
    </xf>
    <xf numFmtId="0" fontId="48" fillId="0" borderId="34" xfId="35" applyFont="1" applyFill="1" applyBorder="1" applyAlignment="1" applyProtection="1">
      <alignment horizontal="left" wrapText="1"/>
    </xf>
    <xf numFmtId="0" fontId="82" fillId="0" borderId="34" xfId="35" applyFont="1" applyFill="1" applyBorder="1" applyAlignment="1" applyProtection="1">
      <alignment horizontal="left" wrapText="1"/>
    </xf>
    <xf numFmtId="2" fontId="48" fillId="0" borderId="34" xfId="35" applyNumberFormat="1" applyFont="1" applyFill="1" applyBorder="1" applyAlignment="1" applyProtection="1">
      <alignment horizontal="right"/>
    </xf>
    <xf numFmtId="4" fontId="48" fillId="0" borderId="34" xfId="13" applyNumberFormat="1" applyFont="1" applyBorder="1" applyAlignment="1" applyProtection="1">
      <alignment horizontal="right"/>
    </xf>
    <xf numFmtId="39" fontId="82" fillId="0" borderId="34" xfId="7" applyNumberFormat="1" applyFont="1" applyFill="1" applyBorder="1" applyAlignment="1" applyProtection="1">
      <alignment horizontal="center"/>
    </xf>
    <xf numFmtId="0" fontId="61" fillId="0" borderId="0" xfId="35" applyFont="1" applyFill="1" applyAlignment="1" applyProtection="1">
      <alignment horizontal="right" vertical="center"/>
    </xf>
    <xf numFmtId="0" fontId="61" fillId="0" borderId="0" xfId="35" applyFont="1" applyFill="1" applyAlignment="1" applyProtection="1">
      <alignment horizontal="left" vertical="center"/>
    </xf>
    <xf numFmtId="37" fontId="46" fillId="0" borderId="0" xfId="35" applyNumberFormat="1" applyFont="1" applyFill="1" applyAlignment="1" applyProtection="1">
      <alignment horizontal="right"/>
    </xf>
    <xf numFmtId="0" fontId="46" fillId="0" borderId="0" xfId="35" applyFont="1" applyFill="1" applyAlignment="1" applyProtection="1">
      <alignment horizontal="left" wrapText="1"/>
    </xf>
    <xf numFmtId="0" fontId="48" fillId="0" borderId="0" xfId="35" applyFont="1" applyFill="1" applyAlignment="1" applyProtection="1">
      <alignment horizontal="left" wrapText="1"/>
    </xf>
    <xf numFmtId="0" fontId="61" fillId="0" borderId="0" xfId="35" applyFont="1" applyFill="1" applyAlignment="1" applyProtection="1">
      <alignment horizontal="left" vertical="top"/>
    </xf>
    <xf numFmtId="0" fontId="106" fillId="0" borderId="34" xfId="35" applyFont="1" applyFill="1" applyBorder="1" applyAlignment="1" applyProtection="1">
      <alignment horizontal="left" wrapText="1"/>
    </xf>
    <xf numFmtId="0" fontId="48" fillId="0" borderId="0" xfId="35" applyFont="1" applyFill="1" applyAlignment="1" applyProtection="1">
      <alignment horizontal="left" vertical="center" wrapText="1"/>
    </xf>
    <xf numFmtId="0" fontId="46" fillId="0" borderId="0" xfId="35" applyFont="1" applyFill="1" applyAlignment="1" applyProtection="1">
      <alignment horizontal="left" vertical="center" wrapText="1"/>
    </xf>
    <xf numFmtId="2" fontId="11" fillId="0" borderId="0" xfId="0" applyNumberFormat="1" applyFont="1" applyFill="1" applyAlignment="1" applyProtection="1">
      <alignment horizontal="right" vertical="center"/>
    </xf>
    <xf numFmtId="0" fontId="11" fillId="0" borderId="34" xfId="0" applyFont="1" applyFill="1" applyBorder="1" applyAlignment="1" applyProtection="1">
      <alignment horizontal="right" vertical="center"/>
    </xf>
    <xf numFmtId="0" fontId="72" fillId="0" borderId="34" xfId="35" applyFont="1" applyFill="1" applyBorder="1" applyAlignment="1" applyProtection="1">
      <alignment horizontal="left" wrapText="1"/>
    </xf>
    <xf numFmtId="4" fontId="72" fillId="0" borderId="34" xfId="35" applyNumberFormat="1" applyFont="1" applyBorder="1" applyAlignment="1" applyProtection="1">
      <alignment horizontal="right"/>
    </xf>
    <xf numFmtId="0" fontId="73" fillId="0" borderId="0" xfId="35" applyFont="1" applyFill="1" applyAlignment="1" applyProtection="1">
      <alignment horizontal="left" vertical="center"/>
    </xf>
    <xf numFmtId="0" fontId="73" fillId="0" borderId="0" xfId="35" applyFont="1" applyFill="1" applyAlignment="1" applyProtection="1">
      <alignment horizontal="center" vertical="center"/>
    </xf>
    <xf numFmtId="37" fontId="11" fillId="0" borderId="34" xfId="35" applyNumberFormat="1" applyFont="1" applyFill="1" applyBorder="1" applyAlignment="1" applyProtection="1">
      <alignment horizontal="right"/>
    </xf>
    <xf numFmtId="39" fontId="33" fillId="0" borderId="34" xfId="35" applyNumberFormat="1" applyFont="1" applyFill="1" applyBorder="1" applyAlignment="1" applyProtection="1">
      <alignment horizontal="right" vertical="center"/>
    </xf>
    <xf numFmtId="0" fontId="35" fillId="0" borderId="0" xfId="35" applyFont="1" applyFill="1" applyAlignment="1" applyProtection="1">
      <alignment horizontal="left" vertical="center"/>
    </xf>
    <xf numFmtId="0" fontId="37" fillId="0" borderId="0" xfId="35" applyFont="1" applyFill="1" applyAlignment="1" applyProtection="1">
      <alignment horizontal="left" vertical="center" wrapText="1"/>
    </xf>
    <xf numFmtId="0" fontId="37" fillId="0" borderId="0" xfId="35" applyFont="1" applyFill="1" applyAlignment="1" applyProtection="1">
      <alignment horizontal="left" vertical="center"/>
    </xf>
    <xf numFmtId="2" fontId="11" fillId="0" borderId="0" xfId="35" applyNumberFormat="1" applyFont="1" applyFill="1" applyAlignment="1" applyProtection="1">
      <alignment horizontal="left" vertical="center"/>
    </xf>
    <xf numFmtId="39" fontId="11" fillId="0" borderId="0" xfId="35" applyNumberFormat="1" applyFont="1" applyFill="1" applyAlignment="1" applyProtection="1">
      <alignment horizontal="left" vertical="center"/>
    </xf>
    <xf numFmtId="37" fontId="11" fillId="5" borderId="34" xfId="5" applyNumberFormat="1" applyFont="1" applyFill="1" applyBorder="1" applyAlignment="1" applyProtection="1">
      <alignment horizontal="right"/>
    </xf>
    <xf numFmtId="0" fontId="11" fillId="5" borderId="34" xfId="5" applyFont="1" applyFill="1" applyBorder="1" applyAlignment="1" applyProtection="1">
      <alignment horizontal="left" wrapText="1"/>
    </xf>
    <xf numFmtId="2" fontId="21" fillId="5" borderId="34" xfId="5" applyNumberFormat="1" applyFont="1" applyFill="1" applyBorder="1" applyAlignment="1" applyProtection="1">
      <alignment horizontal="right"/>
    </xf>
    <xf numFmtId="0" fontId="28" fillId="0" borderId="0" xfId="5" applyFont="1" applyFill="1" applyAlignment="1" applyProtection="1">
      <alignment horizontal="left" vertical="center"/>
    </xf>
    <xf numFmtId="0" fontId="66" fillId="0" borderId="0" xfId="5" applyFont="1" applyFill="1" applyAlignment="1" applyProtection="1">
      <alignment horizontal="right" vertical="top"/>
    </xf>
    <xf numFmtId="37" fontId="11" fillId="0" borderId="0" xfId="5" applyNumberFormat="1" applyFont="1" applyFill="1" applyAlignment="1" applyProtection="1">
      <alignment horizontal="right"/>
    </xf>
    <xf numFmtId="0" fontId="16" fillId="0" borderId="40" xfId="5" applyFont="1" applyFill="1" applyBorder="1" applyAlignment="1" applyProtection="1">
      <alignment vertical="center"/>
    </xf>
    <xf numFmtId="39" fontId="52" fillId="0" borderId="0" xfId="5" applyNumberFormat="1" applyFont="1" applyFill="1" applyAlignment="1" applyProtection="1">
      <alignment horizontal="left" vertical="center"/>
    </xf>
    <xf numFmtId="1" fontId="11" fillId="0" borderId="34" xfId="0" applyNumberFormat="1" applyFont="1" applyFill="1" applyBorder="1" applyAlignment="1" applyProtection="1">
      <alignment horizontal="right"/>
    </xf>
    <xf numFmtId="0" fontId="11" fillId="0" borderId="34" xfId="12" applyFont="1" applyFill="1" applyBorder="1" applyAlignment="1" applyProtection="1">
      <alignment horizontal="left" wrapText="1"/>
    </xf>
    <xf numFmtId="0" fontId="100" fillId="0" borderId="0" xfId="5" applyFont="1" applyFill="1" applyAlignment="1" applyProtection="1">
      <alignment horizontal="left" vertical="center"/>
    </xf>
    <xf numFmtId="2" fontId="17" fillId="0" borderId="34" xfId="12" applyNumberFormat="1" applyFont="1" applyFill="1" applyBorder="1" applyAlignment="1" applyProtection="1">
      <alignment horizontal="right"/>
    </xf>
    <xf numFmtId="49" fontId="11" fillId="0" borderId="34" xfId="24" applyNumberFormat="1" applyFont="1" applyBorder="1" applyAlignment="1" applyProtection="1">
      <alignment horizontal="right" wrapText="1"/>
    </xf>
    <xf numFmtId="49" fontId="11" fillId="0" borderId="34" xfId="24" applyNumberFormat="1" applyFont="1" applyBorder="1" applyAlignment="1" applyProtection="1">
      <alignment horizontal="left" wrapText="1"/>
    </xf>
    <xf numFmtId="0" fontId="11" fillId="0" borderId="34" xfId="24" applyFont="1" applyBorder="1" applyAlignment="1" applyProtection="1">
      <alignment horizontal="left" wrapText="1"/>
    </xf>
    <xf numFmtId="0" fontId="17" fillId="0" borderId="34" xfId="24" applyFont="1" applyBorder="1" applyAlignment="1" applyProtection="1">
      <alignment horizontal="left" wrapText="1"/>
    </xf>
    <xf numFmtId="2" fontId="17" fillId="0" borderId="34" xfId="24" applyNumberFormat="1" applyFont="1" applyBorder="1" applyAlignment="1" applyProtection="1">
      <alignment horizontal="right"/>
    </xf>
    <xf numFmtId="39" fontId="11" fillId="0" borderId="34" xfId="24" applyNumberFormat="1" applyFont="1" applyBorder="1" applyAlignment="1" applyProtection="1">
      <alignment horizontal="right"/>
    </xf>
    <xf numFmtId="0" fontId="79" fillId="0" borderId="0" xfId="24" applyFont="1" applyFill="1" applyAlignment="1" applyProtection="1">
      <alignment horizontal="left" vertical="center"/>
    </xf>
    <xf numFmtId="0" fontId="17" fillId="0" borderId="34" xfId="24" applyFont="1" applyBorder="1" applyAlignment="1" applyProtection="1">
      <alignment horizontal="left" vertical="center" wrapText="1"/>
    </xf>
    <xf numFmtId="0" fontId="77" fillId="0" borderId="0" xfId="24" applyAlignment="1" applyProtection="1">
      <alignment vertical="top"/>
    </xf>
    <xf numFmtId="0" fontId="83" fillId="0" borderId="0" xfId="24" applyFont="1" applyFill="1" applyAlignment="1" applyProtection="1">
      <alignment horizontal="left" vertical="center"/>
    </xf>
    <xf numFmtId="39" fontId="77" fillId="0" borderId="0" xfId="24" applyNumberFormat="1" applyFill="1" applyAlignment="1" applyProtection="1">
      <alignment vertical="top"/>
    </xf>
    <xf numFmtId="37" fontId="25" fillId="0" borderId="34" xfId="24" applyNumberFormat="1" applyFont="1" applyBorder="1" applyAlignment="1" applyProtection="1">
      <alignment horizontal="right"/>
    </xf>
    <xf numFmtId="49" fontId="25" fillId="0" borderId="34" xfId="24" applyNumberFormat="1" applyFont="1" applyBorder="1" applyAlignment="1" applyProtection="1">
      <alignment horizontal="left" wrapText="1"/>
    </xf>
    <xf numFmtId="0" fontId="25" fillId="0" borderId="34" xfId="24" applyFont="1" applyBorder="1" applyAlignment="1" applyProtection="1">
      <alignment horizontal="left" wrapText="1"/>
    </xf>
    <xf numFmtId="2" fontId="42" fillId="0" borderId="34" xfId="24" applyNumberFormat="1" applyFont="1" applyBorder="1" applyAlignment="1" applyProtection="1">
      <alignment horizontal="right" wrapText="1"/>
    </xf>
    <xf numFmtId="39" fontId="25" fillId="0" borderId="34" xfId="24" applyNumberFormat="1" applyFont="1" applyFill="1" applyBorder="1" applyAlignment="1" applyProtection="1">
      <alignment horizontal="right"/>
    </xf>
    <xf numFmtId="0" fontId="77" fillId="0" borderId="34" xfId="24" applyFill="1" applyBorder="1" applyAlignment="1" applyProtection="1">
      <alignment horizontal="left" vertical="top"/>
    </xf>
    <xf numFmtId="0" fontId="57" fillId="0" borderId="34" xfId="35" applyFont="1" applyFill="1" applyBorder="1" applyAlignment="1" applyProtection="1">
      <alignment horizontal="right" vertical="center"/>
    </xf>
    <xf numFmtId="1" fontId="11" fillId="0" borderId="34" xfId="12" applyNumberFormat="1" applyFont="1" applyFill="1" applyBorder="1" applyAlignment="1" applyProtection="1">
      <alignment horizontal="right"/>
    </xf>
    <xf numFmtId="2" fontId="11" fillId="0" borderId="34" xfId="12" applyNumberFormat="1" applyFont="1" applyFill="1" applyBorder="1" applyAlignment="1" applyProtection="1">
      <alignment horizontal="right" wrapText="1"/>
    </xf>
    <xf numFmtId="4" fontId="11" fillId="0" borderId="34" xfId="12" applyNumberFormat="1" applyFont="1" applyFill="1" applyBorder="1" applyAlignment="1" applyProtection="1">
      <alignment horizontal="right"/>
    </xf>
    <xf numFmtId="1" fontId="11" fillId="0" borderId="34" xfId="13" applyNumberFormat="1" applyFont="1" applyFill="1" applyBorder="1" applyAlignment="1" applyProtection="1">
      <alignment horizontal="right"/>
    </xf>
    <xf numFmtId="0" fontId="121" fillId="0" borderId="0" xfId="0" applyFont="1" applyFill="1" applyAlignment="1" applyProtection="1">
      <alignment vertical="center"/>
    </xf>
    <xf numFmtId="0" fontId="43" fillId="0" borderId="0" xfId="0" applyFont="1" applyFill="1" applyAlignment="1" applyProtection="1">
      <alignment horizontal="left" vertical="center"/>
    </xf>
    <xf numFmtId="0" fontId="99" fillId="0" borderId="0" xfId="5" applyFont="1" applyFill="1" applyAlignment="1" applyProtection="1">
      <alignment vertical="center"/>
    </xf>
    <xf numFmtId="2" fontId="1" fillId="0" borderId="0" xfId="5" applyNumberFormat="1" applyFill="1" applyAlignment="1" applyProtection="1">
      <alignment horizontal="left" vertical="center"/>
    </xf>
    <xf numFmtId="2" fontId="44" fillId="0" borderId="0" xfId="0" applyNumberFormat="1" applyFont="1" applyFill="1" applyAlignment="1" applyProtection="1">
      <alignment horizontal="right" vertical="center"/>
    </xf>
    <xf numFmtId="37" fontId="75" fillId="0" borderId="34" xfId="0" applyNumberFormat="1" applyFont="1" applyFill="1" applyBorder="1" applyAlignment="1" applyProtection="1">
      <alignment horizontal="right"/>
    </xf>
    <xf numFmtId="0" fontId="75" fillId="0" borderId="34" xfId="0" applyFont="1" applyFill="1" applyBorder="1" applyAlignment="1" applyProtection="1">
      <alignment horizontal="left" wrapText="1"/>
    </xf>
    <xf numFmtId="4" fontId="75" fillId="0" borderId="34" xfId="0" applyNumberFormat="1" applyFont="1" applyFill="1" applyBorder="1" applyAlignment="1" applyProtection="1">
      <alignment horizontal="right"/>
    </xf>
    <xf numFmtId="2" fontId="21" fillId="0" borderId="34" xfId="0" applyNumberFormat="1" applyFont="1" applyFill="1" applyBorder="1" applyAlignment="1" applyProtection="1">
      <alignment horizontal="right"/>
    </xf>
    <xf numFmtId="39" fontId="65" fillId="0" borderId="34" xfId="0" applyNumberFormat="1" applyFont="1" applyBorder="1" applyAlignment="1" applyProtection="1">
      <alignment horizontal="center"/>
    </xf>
    <xf numFmtId="0" fontId="0" fillId="0" borderId="34" xfId="0" applyBorder="1" applyAlignment="1" applyProtection="1">
      <alignment horizontal="left" vertical="top"/>
    </xf>
    <xf numFmtId="39" fontId="11" fillId="0" borderId="34" xfId="5" applyNumberFormat="1" applyFont="1" applyBorder="1" applyAlignment="1" applyProtection="1">
      <alignment horizontal="center"/>
    </xf>
    <xf numFmtId="4" fontId="11" fillId="0" borderId="34" xfId="11" applyNumberFormat="1" applyFont="1" applyFill="1" applyBorder="1" applyAlignment="1" applyProtection="1">
      <alignment horizontal="right"/>
      <protection locked="0"/>
    </xf>
    <xf numFmtId="4" fontId="11" fillId="0" borderId="34" xfId="12" applyNumberFormat="1" applyFont="1" applyFill="1" applyBorder="1" applyAlignment="1" applyProtection="1">
      <alignment horizontal="right"/>
      <protection locked="0"/>
    </xf>
    <xf numFmtId="0" fontId="94" fillId="0" borderId="0" xfId="7" applyFont="1" applyFill="1" applyAlignment="1" applyProtection="1">
      <alignment horizontal="left" vertical="top"/>
    </xf>
    <xf numFmtId="2" fontId="85" fillId="0" borderId="0" xfId="7" applyNumberFormat="1" applyFont="1" applyFill="1" applyAlignment="1" applyProtection="1">
      <alignment horizontal="left" vertical="center"/>
    </xf>
    <xf numFmtId="0" fontId="67" fillId="0" borderId="0" xfId="7" applyFont="1" applyFill="1" applyAlignment="1" applyProtection="1">
      <alignment horizontal="left" vertical="center"/>
    </xf>
    <xf numFmtId="0" fontId="79" fillId="0" borderId="0" xfId="7" applyFont="1" applyFill="1" applyAlignment="1" applyProtection="1">
      <alignment horizontal="right" vertical="center"/>
    </xf>
    <xf numFmtId="2" fontId="100" fillId="0" borderId="0" xfId="7" applyNumberFormat="1" applyFont="1" applyFill="1" applyAlignment="1" applyProtection="1">
      <alignment horizontal="left" vertical="center"/>
    </xf>
    <xf numFmtId="0" fontId="79" fillId="0" borderId="34" xfId="7" applyFont="1" applyFill="1" applyBorder="1" applyAlignment="1" applyProtection="1">
      <alignment horizontal="right" vertical="top" wrapText="1"/>
    </xf>
    <xf numFmtId="0" fontId="120" fillId="0" borderId="34" xfId="7" applyFont="1" applyFill="1" applyBorder="1" applyAlignment="1" applyProtection="1">
      <alignment horizontal="center" vertical="center" wrapText="1"/>
    </xf>
    <xf numFmtId="2" fontId="116" fillId="0" borderId="0" xfId="7" applyNumberFormat="1" applyFont="1" applyFill="1" applyAlignment="1" applyProtection="1">
      <alignment horizontal="left" vertical="center"/>
    </xf>
    <xf numFmtId="2" fontId="117" fillId="0" borderId="0" xfId="7" applyNumberFormat="1" applyFont="1" applyFill="1" applyAlignment="1" applyProtection="1">
      <alignment horizontal="right" vertical="center"/>
    </xf>
    <xf numFmtId="0" fontId="118" fillId="0" borderId="0" xfId="7" applyFont="1" applyFill="1" applyAlignment="1" applyProtection="1">
      <alignment horizontal="center" vertical="center"/>
    </xf>
    <xf numFmtId="0" fontId="119" fillId="0" borderId="0" xfId="7" applyFont="1" applyFill="1" applyAlignment="1" applyProtection="1">
      <alignment horizontal="left" vertical="top"/>
    </xf>
    <xf numFmtId="4" fontId="11" fillId="0" borderId="34" xfId="13" applyNumberFormat="1" applyFont="1" applyFill="1" applyBorder="1" applyAlignment="1" applyProtection="1">
      <alignment horizontal="right"/>
    </xf>
    <xf numFmtId="0" fontId="33" fillId="0" borderId="0" xfId="35" applyFont="1" applyFill="1" applyAlignment="1" applyProtection="1">
      <alignment horizontal="left" vertical="top"/>
    </xf>
    <xf numFmtId="0" fontId="19" fillId="0" borderId="34" xfId="7" applyBorder="1" applyAlignment="1" applyProtection="1">
      <alignment horizontal="left" vertical="top"/>
    </xf>
    <xf numFmtId="0" fontId="94" fillId="0" borderId="0" xfId="7" applyFont="1" applyFill="1" applyAlignment="1" applyProtection="1">
      <alignment horizontal="left" vertical="center"/>
    </xf>
    <xf numFmtId="0" fontId="19" fillId="0" borderId="0" xfId="11" applyAlignment="1" applyProtection="1">
      <alignment vertical="top"/>
    </xf>
    <xf numFmtId="0" fontId="26" fillId="0" borderId="0" xfId="10" applyFill="1" applyAlignment="1" applyProtection="1">
      <alignment vertical="center"/>
    </xf>
    <xf numFmtId="0" fontId="19" fillId="0" borderId="0" xfId="11" applyFill="1" applyAlignment="1" applyProtection="1">
      <alignment vertical="top"/>
    </xf>
    <xf numFmtId="0" fontId="30" fillId="0" borderId="0" xfId="7" applyFont="1" applyAlignment="1" applyProtection="1">
      <alignment horizontal="left" vertical="top"/>
    </xf>
    <xf numFmtId="0" fontId="94" fillId="0" borderId="0" xfId="11" applyFont="1" applyFill="1" applyAlignment="1" applyProtection="1">
      <alignment horizontal="left" vertical="center"/>
    </xf>
    <xf numFmtId="0" fontId="30" fillId="0" borderId="0" xfId="11" applyFont="1" applyAlignment="1" applyProtection="1">
      <alignment vertical="top"/>
    </xf>
    <xf numFmtId="0" fontId="31" fillId="0" borderId="0" xfId="11" applyFont="1" applyFill="1" applyAlignment="1" applyProtection="1">
      <alignment horizontal="left" vertical="center"/>
    </xf>
    <xf numFmtId="0" fontId="32" fillId="0" borderId="0" xfId="11" applyFont="1" applyFill="1" applyAlignment="1" applyProtection="1">
      <alignment horizontal="left" vertical="center" textRotation="90" wrapText="1"/>
    </xf>
    <xf numFmtId="39" fontId="19" fillId="0" borderId="0" xfId="11" applyNumberFormat="1" applyFill="1" applyAlignment="1" applyProtection="1">
      <alignment horizontal="left" vertical="top"/>
    </xf>
    <xf numFmtId="0" fontId="35" fillId="0" borderId="0" xfId="0" applyFont="1" applyFill="1" applyAlignment="1" applyProtection="1">
      <alignment horizontal="left" vertical="center"/>
    </xf>
    <xf numFmtId="2" fontId="34" fillId="0" borderId="34" xfId="5" applyNumberFormat="1" applyFont="1" applyFill="1" applyBorder="1" applyAlignment="1" applyProtection="1">
      <alignment horizontal="right" wrapText="1"/>
    </xf>
    <xf numFmtId="0" fontId="92" fillId="0" borderId="0" xfId="0" applyFont="1" applyFill="1" applyAlignment="1" applyProtection="1">
      <alignment horizontal="left" vertical="center"/>
    </xf>
    <xf numFmtId="0" fontId="33" fillId="0" borderId="0" xfId="0" applyFont="1" applyFill="1" applyAlignment="1" applyProtection="1">
      <alignment horizontal="left" vertical="top"/>
    </xf>
    <xf numFmtId="2" fontId="19" fillId="0" borderId="0" xfId="0" applyNumberFormat="1" applyFont="1" applyFill="1" applyAlignment="1" applyProtection="1">
      <alignment horizontal="left" vertical="top"/>
    </xf>
    <xf numFmtId="0" fontId="36" fillId="0" borderId="0" xfId="0" applyFont="1" applyFill="1" applyAlignment="1" applyProtection="1">
      <alignment horizontal="left" vertical="top"/>
    </xf>
    <xf numFmtId="0" fontId="26" fillId="0" borderId="0" xfId="10" applyFill="1" applyAlignment="1" applyProtection="1">
      <alignment horizontal="left" vertical="top"/>
    </xf>
    <xf numFmtId="0" fontId="107" fillId="0" borderId="0" xfId="0" applyFont="1" applyFill="1" applyAlignment="1" applyProtection="1">
      <alignment horizontal="left" vertical="center"/>
    </xf>
    <xf numFmtId="0" fontId="1" fillId="0" borderId="0" xfId="0" applyFont="1" applyFill="1" applyAlignment="1" applyProtection="1">
      <alignment horizontal="center" vertical="center"/>
    </xf>
    <xf numFmtId="0" fontId="1" fillId="0" borderId="0" xfId="0" applyFont="1" applyFill="1" applyAlignment="1" applyProtection="1">
      <alignment horizontal="left" vertical="center"/>
    </xf>
    <xf numFmtId="0" fontId="5" fillId="0" borderId="0" xfId="0" applyFont="1" applyFill="1" applyAlignment="1" applyProtection="1">
      <alignment horizontal="center" vertical="center"/>
    </xf>
    <xf numFmtId="0" fontId="6" fillId="0" borderId="0" xfId="0" applyFont="1" applyFill="1" applyAlignment="1" applyProtection="1">
      <alignment horizontal="center" vertical="center" wrapText="1"/>
    </xf>
    <xf numFmtId="0" fontId="1" fillId="0" borderId="0" xfId="0" applyFont="1" applyFill="1" applyAlignment="1" applyProtection="1">
      <alignment horizontal="center" vertical="center" wrapText="1"/>
    </xf>
    <xf numFmtId="0" fontId="38" fillId="0" borderId="0" xfId="0" applyFont="1" applyFill="1" applyAlignment="1" applyProtection="1">
      <alignment horizontal="left" vertical="center"/>
    </xf>
    <xf numFmtId="2" fontId="38" fillId="0" borderId="0" xfId="0" applyNumberFormat="1" applyFont="1" applyFill="1" applyAlignment="1" applyProtection="1">
      <alignment horizontal="left" vertical="center"/>
    </xf>
    <xf numFmtId="39" fontId="11" fillId="0" borderId="0" xfId="0" applyNumberFormat="1" applyFont="1" applyFill="1" applyAlignment="1" applyProtection="1">
      <alignment horizontal="left" vertical="center"/>
    </xf>
    <xf numFmtId="0" fontId="39" fillId="0" borderId="0" xfId="0" applyFont="1" applyFill="1" applyAlignment="1" applyProtection="1">
      <alignment horizontal="left" vertical="center"/>
    </xf>
    <xf numFmtId="166" fontId="30" fillId="0" borderId="0" xfId="0" applyNumberFormat="1" applyFont="1" applyFill="1" applyAlignment="1" applyProtection="1">
      <alignment vertical="center"/>
    </xf>
    <xf numFmtId="0" fontId="45" fillId="0" borderId="0" xfId="0" applyFont="1" applyFill="1" applyAlignment="1" applyProtection="1">
      <alignment vertical="center"/>
    </xf>
    <xf numFmtId="4" fontId="23" fillId="0" borderId="0" xfId="0" applyNumberFormat="1" applyFont="1" applyFill="1" applyAlignment="1" applyProtection="1">
      <alignment horizontal="center" vertical="center"/>
    </xf>
    <xf numFmtId="0" fontId="24" fillId="0" borderId="0" xfId="0" applyFont="1" applyFill="1" applyAlignment="1" applyProtection="1">
      <alignment horizontal="left" vertical="top"/>
    </xf>
    <xf numFmtId="37" fontId="11" fillId="0" borderId="34" xfId="12" applyNumberFormat="1" applyFont="1" applyFill="1" applyBorder="1" applyAlignment="1" applyProtection="1">
      <alignment horizontal="right"/>
    </xf>
    <xf numFmtId="39" fontId="11" fillId="0" borderId="34" xfId="12" applyNumberFormat="1" applyFont="1" applyFill="1" applyBorder="1" applyAlignment="1" applyProtection="1">
      <alignment horizontal="right"/>
    </xf>
    <xf numFmtId="0" fontId="103" fillId="0" borderId="0" xfId="12" applyFont="1" applyFill="1" applyAlignment="1" applyProtection="1">
      <alignment horizontal="left" vertical="center"/>
    </xf>
    <xf numFmtId="2" fontId="41" fillId="0" borderId="0" xfId="12" applyNumberFormat="1" applyFont="1" applyFill="1" applyAlignment="1" applyProtection="1">
      <alignment horizontal="left" vertical="center"/>
    </xf>
    <xf numFmtId="0" fontId="35" fillId="0" borderId="0" xfId="11" applyFont="1" applyFill="1" applyAlignment="1" applyProtection="1">
      <alignment horizontal="left" vertical="center"/>
    </xf>
    <xf numFmtId="2" fontId="37" fillId="0" borderId="0" xfId="0" applyNumberFormat="1" applyFont="1" applyFill="1" applyAlignment="1" applyProtection="1">
      <alignment vertical="top" wrapText="1"/>
    </xf>
    <xf numFmtId="0" fontId="37" fillId="0" borderId="0" xfId="0" applyFont="1" applyFill="1" applyAlignment="1" applyProtection="1">
      <alignment vertical="center" wrapText="1"/>
    </xf>
    <xf numFmtId="4" fontId="19" fillId="0" borderId="0" xfId="7" applyNumberFormat="1" applyFont="1" applyFill="1" applyAlignment="1" applyProtection="1">
      <alignment horizontal="left" vertical="top"/>
    </xf>
    <xf numFmtId="0" fontId="25" fillId="0" borderId="34" xfId="5" applyFont="1" applyFill="1" applyBorder="1" applyAlignment="1" applyProtection="1">
      <alignment horizontal="left" vertical="center" wrapText="1"/>
    </xf>
    <xf numFmtId="4" fontId="25" fillId="0" borderId="34" xfId="5" applyNumberFormat="1" applyFont="1" applyFill="1" applyBorder="1" applyAlignment="1" applyProtection="1">
      <alignment horizontal="right" vertical="center"/>
    </xf>
    <xf numFmtId="0" fontId="1" fillId="0" borderId="0" xfId="5" applyAlignment="1" applyProtection="1">
      <alignment horizontal="left" vertical="center"/>
    </xf>
    <xf numFmtId="0" fontId="5" fillId="0" borderId="0" xfId="5" applyFont="1" applyFill="1" applyAlignment="1" applyProtection="1">
      <alignment horizontal="left" vertical="center"/>
    </xf>
    <xf numFmtId="49" fontId="46" fillId="0" borderId="34" xfId="5" applyNumberFormat="1" applyFont="1" applyFill="1" applyBorder="1" applyAlignment="1" applyProtection="1">
      <alignment horizontal="right" wrapText="1"/>
    </xf>
    <xf numFmtId="0" fontId="47" fillId="0" borderId="34" xfId="5" applyFont="1" applyFill="1" applyBorder="1" applyAlignment="1" applyProtection="1">
      <alignment horizontal="left" vertical="center" wrapText="1"/>
    </xf>
    <xf numFmtId="4" fontId="47" fillId="0" borderId="34" xfId="5" applyNumberFormat="1" applyFont="1" applyFill="1" applyBorder="1" applyAlignment="1" applyProtection="1">
      <alignment horizontal="right" vertical="center"/>
    </xf>
    <xf numFmtId="166" fontId="1" fillId="0" borderId="0" xfId="0" applyNumberFormat="1" applyFont="1" applyFill="1" applyAlignment="1" applyProtection="1">
      <alignment horizontal="left" vertical="center"/>
    </xf>
    <xf numFmtId="0" fontId="37" fillId="0" borderId="0" xfId="0" applyFont="1" applyFill="1" applyBorder="1" applyAlignment="1" applyProtection="1">
      <alignment vertical="center"/>
    </xf>
    <xf numFmtId="0" fontId="37" fillId="0" borderId="0" xfId="0" applyFont="1" applyFill="1" applyAlignment="1" applyProtection="1">
      <alignment vertical="center"/>
    </xf>
    <xf numFmtId="0" fontId="17" fillId="0" borderId="0"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37" fontId="25" fillId="0" borderId="34" xfId="0" applyNumberFormat="1" applyFont="1" applyFill="1" applyBorder="1" applyAlignment="1" applyProtection="1">
      <alignment horizontal="right" vertical="center"/>
    </xf>
    <xf numFmtId="39" fontId="25" fillId="0" borderId="34" xfId="0" applyNumberFormat="1" applyFont="1" applyFill="1" applyBorder="1" applyAlignment="1" applyProtection="1">
      <alignment horizontal="right" vertical="center"/>
    </xf>
    <xf numFmtId="0" fontId="0" fillId="0" borderId="0" xfId="0" applyAlignment="1" applyProtection="1">
      <alignment horizontal="left" vertical="center"/>
    </xf>
    <xf numFmtId="0" fontId="104" fillId="0" borderId="0" xfId="0" applyFont="1" applyFill="1" applyAlignment="1" applyProtection="1">
      <alignment horizontal="left" vertical="center"/>
    </xf>
    <xf numFmtId="0" fontId="57" fillId="0" borderId="0" xfId="10" applyFont="1" applyFill="1" applyAlignment="1" applyProtection="1">
      <alignment horizontal="left" vertical="center"/>
    </xf>
    <xf numFmtId="49" fontId="11" fillId="0" borderId="34" xfId="12" applyNumberFormat="1" applyFont="1" applyFill="1" applyBorder="1" applyAlignment="1" applyProtection="1">
      <alignment horizontal="right" wrapText="1"/>
    </xf>
    <xf numFmtId="2" fontId="11" fillId="0" borderId="34" xfId="12" applyNumberFormat="1" applyFont="1" applyFill="1" applyBorder="1" applyAlignment="1" applyProtection="1">
      <alignment horizontal="right"/>
    </xf>
    <xf numFmtId="0" fontId="49" fillId="0" borderId="0" xfId="12" applyFont="1" applyFill="1" applyAlignment="1" applyProtection="1">
      <alignment horizontal="left" vertical="center"/>
    </xf>
    <xf numFmtId="0" fontId="54" fillId="0" borderId="0" xfId="12" applyFont="1" applyFill="1" applyAlignment="1" applyProtection="1">
      <alignment horizontal="left" vertical="center"/>
    </xf>
    <xf numFmtId="0" fontId="37" fillId="0" borderId="0" xfId="12" applyFont="1" applyFill="1" applyAlignment="1" applyProtection="1">
      <alignment vertical="top" wrapText="1"/>
    </xf>
    <xf numFmtId="0" fontId="17" fillId="0" borderId="0" xfId="12" applyFont="1" applyFill="1" applyAlignment="1" applyProtection="1">
      <alignment horizontal="left" wrapText="1"/>
    </xf>
    <xf numFmtId="0" fontId="11" fillId="0" borderId="0" xfId="12" applyFont="1" applyFill="1" applyAlignment="1" applyProtection="1">
      <alignment horizontal="left" wrapText="1"/>
    </xf>
    <xf numFmtId="2" fontId="11" fillId="0" borderId="0" xfId="12" applyNumberFormat="1" applyFont="1" applyFill="1" applyAlignment="1" applyProtection="1">
      <alignment horizontal="right"/>
    </xf>
    <xf numFmtId="39" fontId="11" fillId="0" borderId="0" xfId="12" applyNumberFormat="1" applyFont="1" applyFill="1" applyAlignment="1" applyProtection="1">
      <alignment horizontal="right"/>
    </xf>
    <xf numFmtId="39" fontId="11" fillId="0" borderId="0" xfId="12" applyNumberFormat="1" applyFont="1" applyFill="1" applyAlignment="1" applyProtection="1">
      <alignment horizontal="center"/>
    </xf>
    <xf numFmtId="0" fontId="32" fillId="0" borderId="0" xfId="12" applyFont="1" applyFill="1" applyAlignment="1" applyProtection="1">
      <alignment horizontal="left" vertical="center" textRotation="90" wrapText="1"/>
    </xf>
    <xf numFmtId="0" fontId="85" fillId="0" borderId="0" xfId="12" applyFont="1" applyFill="1" applyAlignment="1" applyProtection="1">
      <alignment horizontal="left" vertical="center"/>
    </xf>
    <xf numFmtId="0" fontId="37" fillId="0" borderId="0" xfId="12" applyFont="1" applyFill="1" applyAlignment="1" applyProtection="1">
      <alignment horizontal="left" vertical="center"/>
    </xf>
    <xf numFmtId="0" fontId="9" fillId="0" borderId="0" xfId="12" applyFont="1" applyFill="1" applyAlignment="1" applyProtection="1">
      <alignment horizontal="left" vertical="center"/>
    </xf>
    <xf numFmtId="0" fontId="26" fillId="0" borderId="0" xfId="10" applyFill="1" applyBorder="1" applyAlignment="1" applyProtection="1">
      <alignment horizontal="left" vertical="center"/>
    </xf>
    <xf numFmtId="49" fontId="25" fillId="0" borderId="34" xfId="12" applyNumberFormat="1" applyFont="1" applyFill="1" applyBorder="1" applyAlignment="1" applyProtection="1">
      <alignment horizontal="left" wrapText="1"/>
    </xf>
    <xf numFmtId="0" fontId="25" fillId="0" borderId="34" xfId="12" applyFont="1" applyFill="1" applyBorder="1" applyAlignment="1" applyProtection="1">
      <alignment horizontal="left" wrapText="1"/>
    </xf>
    <xf numFmtId="4" fontId="33" fillId="0" borderId="34" xfId="12" applyNumberFormat="1" applyFont="1" applyFill="1" applyBorder="1" applyAlignment="1" applyProtection="1">
      <alignment horizontal="right" vertical="center"/>
    </xf>
    <xf numFmtId="0" fontId="24" fillId="0" borderId="34" xfId="12" applyFill="1" applyBorder="1" applyAlignment="1" applyProtection="1">
      <alignment horizontal="right" vertical="center"/>
    </xf>
    <xf numFmtId="0" fontId="1" fillId="0" borderId="0" xfId="5" applyFill="1" applyAlignment="1" applyProtection="1">
      <alignment vertical="top"/>
    </xf>
    <xf numFmtId="4" fontId="25" fillId="0" borderId="34" xfId="5" applyNumberFormat="1" applyFont="1" applyFill="1" applyBorder="1" applyAlignment="1" applyProtection="1">
      <alignment horizontal="right"/>
    </xf>
    <xf numFmtId="0" fontId="57" fillId="0" borderId="0" xfId="0" applyFont="1" applyFill="1" applyAlignment="1" applyProtection="1">
      <alignment vertical="center"/>
    </xf>
    <xf numFmtId="0" fontId="30" fillId="0" borderId="0" xfId="11" applyFont="1" applyFill="1" applyAlignment="1" applyProtection="1">
      <alignment vertical="top"/>
    </xf>
    <xf numFmtId="2" fontId="19" fillId="0" borderId="0" xfId="11" applyNumberFormat="1" applyFill="1" applyAlignment="1" applyProtection="1">
      <alignment horizontal="left" vertical="top"/>
    </xf>
    <xf numFmtId="0" fontId="19" fillId="0" borderId="0" xfId="11" applyFont="1" applyAlignment="1" applyProtection="1">
      <alignment horizontal="left" vertical="top"/>
    </xf>
    <xf numFmtId="0" fontId="54" fillId="0" borderId="0" xfId="6" applyFont="1" applyAlignment="1" applyProtection="1">
      <alignment horizontal="left" vertical="center" wrapText="1"/>
    </xf>
    <xf numFmtId="39" fontId="11" fillId="0" borderId="34" xfId="12" applyNumberFormat="1" applyFont="1" applyFill="1" applyBorder="1" applyAlignment="1" applyProtection="1">
      <alignment horizontal="right"/>
      <protection locked="0"/>
    </xf>
  </cellXfs>
  <cellStyles count="36">
    <cellStyle name="Hypertextový odkaz" xfId="10" builtinId="8"/>
    <cellStyle name="Hypertextový odkaz 2" xfId="31" xr:uid="{F6AFE972-5554-423C-9D0E-5A42795F74B2}"/>
    <cellStyle name="Hypertextový odkaz 3" xfId="33" xr:uid="{76AFDA8D-89F2-4735-8B7F-BD9C3A62ACBF}"/>
    <cellStyle name="Normální" xfId="0" builtinId="0"/>
    <cellStyle name="Normální 10" xfId="5" xr:uid="{00000000-0005-0000-0000-000002000000}"/>
    <cellStyle name="normální 11" xfId="9" xr:uid="{00000000-0005-0000-0000-000003000000}"/>
    <cellStyle name="normální 11 2" xfId="19" xr:uid="{00000000-0005-0000-0000-000004000000}"/>
    <cellStyle name="Normální 12" xfId="29" xr:uid="{618DF2D2-9A35-4DDC-969A-18D2A0CC0058}"/>
    <cellStyle name="Normální 12 2" xfId="34" xr:uid="{6AF4E260-492B-41B4-994A-C0BB8229C2C8}"/>
    <cellStyle name="Normální 13" xfId="15" xr:uid="{00000000-0005-0000-0000-000005000000}"/>
    <cellStyle name="normální 14" xfId="12" xr:uid="{00000000-0005-0000-0000-000006000000}"/>
    <cellStyle name="normální 14 2" xfId="26" xr:uid="{00000000-0005-0000-0000-000007000000}"/>
    <cellStyle name="Normální 17" xfId="16" xr:uid="{00000000-0005-0000-0000-000008000000}"/>
    <cellStyle name="Normální 18" xfId="27" xr:uid="{00000000-0005-0000-0000-000009000000}"/>
    <cellStyle name="Normální 2" xfId="24" xr:uid="{00000000-0005-0000-0000-00000A000000}"/>
    <cellStyle name="normální 2 2" xfId="14" xr:uid="{00000000-0005-0000-0000-00000B000000}"/>
    <cellStyle name="normální 2 2 2" xfId="28" xr:uid="{00000000-0005-0000-0000-00000C000000}"/>
    <cellStyle name="Normální 2 3" xfId="8" xr:uid="{00000000-0005-0000-0000-00000D000000}"/>
    <cellStyle name="Normální 2 3 3" xfId="17" xr:uid="{00000000-0005-0000-0000-00000E000000}"/>
    <cellStyle name="Normální 2 4" xfId="23" xr:uid="{00000000-0005-0000-0000-00000F000000}"/>
    <cellStyle name="Normální 2 5" xfId="35" xr:uid="{13BAA27D-4769-42C5-AEA0-501E29CC9A17}"/>
    <cellStyle name="Normální 2 7" xfId="18" xr:uid="{00000000-0005-0000-0000-000010000000}"/>
    <cellStyle name="Normální 3" xfId="25" xr:uid="{00000000-0005-0000-0000-000011000000}"/>
    <cellStyle name="Normální 3 2" xfId="1" xr:uid="{00000000-0005-0000-0000-000012000000}"/>
    <cellStyle name="Normální 7" xfId="7" xr:uid="{00000000-0005-0000-0000-000013000000}"/>
    <cellStyle name="Normální 8" xfId="30" xr:uid="{B8C090CF-6D44-4080-97C4-515A7F2222E7}"/>
    <cellStyle name="Normální 8 2 2" xfId="4" xr:uid="{00000000-0005-0000-0000-000014000000}"/>
    <cellStyle name="Normální 9" xfId="11" xr:uid="{00000000-0005-0000-0000-000015000000}"/>
    <cellStyle name="normální 9 2" xfId="21" xr:uid="{00000000-0005-0000-0000-000016000000}"/>
    <cellStyle name="Normální 9 2 2" xfId="22" xr:uid="{00000000-0005-0000-0000-000017000000}"/>
    <cellStyle name="normální 9 4" xfId="13" xr:uid="{00000000-0005-0000-0000-000018000000}"/>
    <cellStyle name="normální 9 5" xfId="20" xr:uid="{00000000-0005-0000-0000-000019000000}"/>
    <cellStyle name="Normální 9 6" xfId="32" xr:uid="{EDE50B00-8CE5-41E2-9E2C-69D5C3406745}"/>
    <cellStyle name="normální_POL.XLS 2" xfId="6" xr:uid="{00000000-0005-0000-0000-00001A000000}"/>
    <cellStyle name="normální_POL.XLS 3" xfId="2" xr:uid="{00000000-0005-0000-0000-00001B000000}"/>
    <cellStyle name="normální_POL.XLS 3 2" xfId="3" xr:uid="{00000000-0005-0000-0000-00001C000000}"/>
  </cellStyles>
  <dxfs count="0"/>
  <tableStyles count="0" defaultTableStyle="TableStyleMedium2" defaultPivotStyle="PivotStyleLight16"/>
  <colors>
    <mruColors>
      <color rgb="FF66FF33"/>
      <color rgb="FF00FFCC"/>
      <color rgb="FFCC00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493%20Depozitar%20Vrchlabi\4%20-%20PD\7%20-%20DPS%20-%20po%20zmene%20etapizace\I.%20ETAPA%20-%20PRISTAVBA%20DEPOZITARE\ROZPOCET\ROZPOCET%20-%20XLS\TO-344-06%20DPS%20-%20SOUHR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Zakazky%20z%20S\573%20-%20Domov%20pro%20seniory%20-%20Vrchlabi\2021-01-27%20Uprava%20rozpoctu%20BP%20dle%20Capka\Podklady\TO-344-06%20DPS%20-%20SOUHR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1\projects\Documents%20and%20Settings\vavra\Desktop\vavra\project\daikin\daikin%20II\CONTRACT\Elma-nab-31.8.04\3117806.03%2031.8.2004%20Daikin%20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407%20Transformace%20DOZP%20Hlinany\01%20Rekonstrukce%20Teplice\4%20-%20VD\4%20-%20DSP\Rozpocet\TO-407-01%20-%20DSP-rozpoc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380-01%20Hotel%20CLARION%20Ostrava\3b_DPS\PD%20-%20Rozpocet\000-Kryc&#237;%20li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TO-344-06 DPS - SOUHRN"/>
    </sheetNames>
    <definedNames>
      <definedName name="Loan_Start" refersTo="#ODKAZ!"/>
    </defined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TO-344-06 DPS - SOUHRN"/>
    </sheetNames>
    <definedNames>
      <definedName name="Loan_Start" refersTo="#ODKAZ!"/>
    </defined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roz.  vč. kapitol"/>
      <sheetName val="Lightning protection"/>
      <sheetName val="22 kV Switching"/>
      <sheetName val="L.V. Power Supply "/>
      <sheetName val="SLP"/>
      <sheetName val="EXTERNAL LIGHTING"/>
      <sheetName val="Outdoor LV connections"/>
      <sheetName val="PRODUCTION HALL"/>
      <sheetName val="SO 33"/>
      <sheetName val="SO34"/>
      <sheetName val="ELECTRICAL ENERGY SO 35"/>
      <sheetName val="ELECTRICAL ENERGY SO 48,49"/>
      <sheetName val="ELECTRICAL ENERGY SO 50"/>
      <sheetName val="Transformer Station TS-2 "/>
      <sheetName val="Earthing Systém SO 32, 33, 34"/>
      <sheetName val="Rekapitulace roz_  vč_ kapit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F.1.1. ASR-rekap"/>
      <sheetName val="F.1.1. ASR"/>
      <sheetName val="F.1.4.1. ZVS"/>
      <sheetName val="F.1.4.5. ZZTI"/>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vba"/>
      <sheetName val="001-B.1. Priprava uzemi"/>
      <sheetName val="002-A.1. Archstav  reseni"/>
      <sheetName val="002-A.2.1. Zakladani"/>
      <sheetName val="002-A.2.2. Zelbet konstrukce"/>
      <sheetName val="002-A.2.3.OK"/>
      <sheetName val="002-A.3.1. Vytapeni"/>
      <sheetName val="002-A.3.2. Chlad"/>
      <sheetName val="002-A.3.5. ZTI"/>
      <sheetName val="002-A.3.11.1. SADOVE UPRAVY"/>
      <sheetName val="003-B.1. KOMUNIK"/>
      <sheetName val="003-B.2. KANALIZA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63"/>
  <sheetViews>
    <sheetView showGridLines="0" tabSelected="1" topLeftCell="B1" zoomScaleNormal="100" zoomScaleSheetLayoutView="75" workbookViewId="0">
      <selection activeCell="B1" sqref="B1"/>
    </sheetView>
  </sheetViews>
  <sheetFormatPr defaultRowHeight="12.75"/>
  <cols>
    <col min="1" max="1" width="0.5703125" style="151" hidden="1" customWidth="1"/>
    <col min="2" max="2" width="7.140625" style="151" customWidth="1"/>
    <col min="3" max="3" width="13.42578125" style="151" customWidth="1"/>
    <col min="4" max="4" width="19.7109375" style="151" customWidth="1"/>
    <col min="5" max="5" width="26.85546875" style="151" customWidth="1"/>
    <col min="6" max="6" width="16.7109375" style="151" customWidth="1"/>
    <col min="7" max="7" width="16.7109375" style="152" customWidth="1"/>
    <col min="8" max="8" width="16.7109375" style="151" customWidth="1"/>
    <col min="9" max="9" width="16.7109375" style="152" customWidth="1"/>
    <col min="10" max="10" width="17.85546875" style="151" customWidth="1"/>
    <col min="11" max="11" width="12.85546875" style="151" customWidth="1"/>
    <col min="12" max="13" width="10.7109375" style="151" customWidth="1"/>
    <col min="14" max="256" width="9.140625" style="151"/>
    <col min="257" max="257" width="0" style="151" hidden="1" customWidth="1"/>
    <col min="258" max="258" width="7.140625" style="151" customWidth="1"/>
    <col min="259" max="259" width="13.42578125" style="151" customWidth="1"/>
    <col min="260" max="260" width="19.7109375" style="151" customWidth="1"/>
    <col min="261" max="261" width="26.85546875" style="151" customWidth="1"/>
    <col min="262" max="265" width="16.7109375" style="151" customWidth="1"/>
    <col min="266" max="266" width="17.85546875" style="151" customWidth="1"/>
    <col min="267" max="267" width="12.85546875" style="151" customWidth="1"/>
    <col min="268" max="269" width="10.7109375" style="151" customWidth="1"/>
    <col min="270" max="512" width="9.140625" style="151"/>
    <col min="513" max="513" width="0" style="151" hidden="1" customWidth="1"/>
    <col min="514" max="514" width="7.140625" style="151" customWidth="1"/>
    <col min="515" max="515" width="13.42578125" style="151" customWidth="1"/>
    <col min="516" max="516" width="19.7109375" style="151" customWidth="1"/>
    <col min="517" max="517" width="26.85546875" style="151" customWidth="1"/>
    <col min="518" max="521" width="16.7109375" style="151" customWidth="1"/>
    <col min="522" max="522" width="17.85546875" style="151" customWidth="1"/>
    <col min="523" max="523" width="12.85546875" style="151" customWidth="1"/>
    <col min="524" max="525" width="10.7109375" style="151" customWidth="1"/>
    <col min="526" max="768" width="9.140625" style="151"/>
    <col min="769" max="769" width="0" style="151" hidden="1" customWidth="1"/>
    <col min="770" max="770" width="7.140625" style="151" customWidth="1"/>
    <col min="771" max="771" width="13.42578125" style="151" customWidth="1"/>
    <col min="772" max="772" width="19.7109375" style="151" customWidth="1"/>
    <col min="773" max="773" width="26.85546875" style="151" customWidth="1"/>
    <col min="774" max="777" width="16.7109375" style="151" customWidth="1"/>
    <col min="778" max="778" width="17.85546875" style="151" customWidth="1"/>
    <col min="779" max="779" width="12.85546875" style="151" customWidth="1"/>
    <col min="780" max="781" width="10.7109375" style="151" customWidth="1"/>
    <col min="782" max="1024" width="9.140625" style="151"/>
    <col min="1025" max="1025" width="0" style="151" hidden="1" customWidth="1"/>
    <col min="1026" max="1026" width="7.140625" style="151" customWidth="1"/>
    <col min="1027" max="1027" width="13.42578125" style="151" customWidth="1"/>
    <col min="1028" max="1028" width="19.7109375" style="151" customWidth="1"/>
    <col min="1029" max="1029" width="26.85546875" style="151" customWidth="1"/>
    <col min="1030" max="1033" width="16.7109375" style="151" customWidth="1"/>
    <col min="1034" max="1034" width="17.85546875" style="151" customWidth="1"/>
    <col min="1035" max="1035" width="12.85546875" style="151" customWidth="1"/>
    <col min="1036" max="1037" width="10.7109375" style="151" customWidth="1"/>
    <col min="1038" max="1280" width="9.140625" style="151"/>
    <col min="1281" max="1281" width="0" style="151" hidden="1" customWidth="1"/>
    <col min="1282" max="1282" width="7.140625" style="151" customWidth="1"/>
    <col min="1283" max="1283" width="13.42578125" style="151" customWidth="1"/>
    <col min="1284" max="1284" width="19.7109375" style="151" customWidth="1"/>
    <col min="1285" max="1285" width="26.85546875" style="151" customWidth="1"/>
    <col min="1286" max="1289" width="16.7109375" style="151" customWidth="1"/>
    <col min="1290" max="1290" width="17.85546875" style="151" customWidth="1"/>
    <col min="1291" max="1291" width="12.85546875" style="151" customWidth="1"/>
    <col min="1292" max="1293" width="10.7109375" style="151" customWidth="1"/>
    <col min="1294" max="1536" width="9.140625" style="151"/>
    <col min="1537" max="1537" width="0" style="151" hidden="1" customWidth="1"/>
    <col min="1538" max="1538" width="7.140625" style="151" customWidth="1"/>
    <col min="1539" max="1539" width="13.42578125" style="151" customWidth="1"/>
    <col min="1540" max="1540" width="19.7109375" style="151" customWidth="1"/>
    <col min="1541" max="1541" width="26.85546875" style="151" customWidth="1"/>
    <col min="1542" max="1545" width="16.7109375" style="151" customWidth="1"/>
    <col min="1546" max="1546" width="17.85546875" style="151" customWidth="1"/>
    <col min="1547" max="1547" width="12.85546875" style="151" customWidth="1"/>
    <col min="1548" max="1549" width="10.7109375" style="151" customWidth="1"/>
    <col min="1550" max="1792" width="9.140625" style="151"/>
    <col min="1793" max="1793" width="0" style="151" hidden="1" customWidth="1"/>
    <col min="1794" max="1794" width="7.140625" style="151" customWidth="1"/>
    <col min="1795" max="1795" width="13.42578125" style="151" customWidth="1"/>
    <col min="1796" max="1796" width="19.7109375" style="151" customWidth="1"/>
    <col min="1797" max="1797" width="26.85546875" style="151" customWidth="1"/>
    <col min="1798" max="1801" width="16.7109375" style="151" customWidth="1"/>
    <col min="1802" max="1802" width="17.85546875" style="151" customWidth="1"/>
    <col min="1803" max="1803" width="12.85546875" style="151" customWidth="1"/>
    <col min="1804" max="1805" width="10.7109375" style="151" customWidth="1"/>
    <col min="1806" max="2048" width="9.140625" style="151"/>
    <col min="2049" max="2049" width="0" style="151" hidden="1" customWidth="1"/>
    <col min="2050" max="2050" width="7.140625" style="151" customWidth="1"/>
    <col min="2051" max="2051" width="13.42578125" style="151" customWidth="1"/>
    <col min="2052" max="2052" width="19.7109375" style="151" customWidth="1"/>
    <col min="2053" max="2053" width="26.85546875" style="151" customWidth="1"/>
    <col min="2054" max="2057" width="16.7109375" style="151" customWidth="1"/>
    <col min="2058" max="2058" width="17.85546875" style="151" customWidth="1"/>
    <col min="2059" max="2059" width="12.85546875" style="151" customWidth="1"/>
    <col min="2060" max="2061" width="10.7109375" style="151" customWidth="1"/>
    <col min="2062" max="2304" width="9.140625" style="151"/>
    <col min="2305" max="2305" width="0" style="151" hidden="1" customWidth="1"/>
    <col min="2306" max="2306" width="7.140625" style="151" customWidth="1"/>
    <col min="2307" max="2307" width="13.42578125" style="151" customWidth="1"/>
    <col min="2308" max="2308" width="19.7109375" style="151" customWidth="1"/>
    <col min="2309" max="2309" width="26.85546875" style="151" customWidth="1"/>
    <col min="2310" max="2313" width="16.7109375" style="151" customWidth="1"/>
    <col min="2314" max="2314" width="17.85546875" style="151" customWidth="1"/>
    <col min="2315" max="2315" width="12.85546875" style="151" customWidth="1"/>
    <col min="2316" max="2317" width="10.7109375" style="151" customWidth="1"/>
    <col min="2318" max="2560" width="9.140625" style="151"/>
    <col min="2561" max="2561" width="0" style="151" hidden="1" customWidth="1"/>
    <col min="2562" max="2562" width="7.140625" style="151" customWidth="1"/>
    <col min="2563" max="2563" width="13.42578125" style="151" customWidth="1"/>
    <col min="2564" max="2564" width="19.7109375" style="151" customWidth="1"/>
    <col min="2565" max="2565" width="26.85546875" style="151" customWidth="1"/>
    <col min="2566" max="2569" width="16.7109375" style="151" customWidth="1"/>
    <col min="2570" max="2570" width="17.85546875" style="151" customWidth="1"/>
    <col min="2571" max="2571" width="12.85546875" style="151" customWidth="1"/>
    <col min="2572" max="2573" width="10.7109375" style="151" customWidth="1"/>
    <col min="2574" max="2816" width="9.140625" style="151"/>
    <col min="2817" max="2817" width="0" style="151" hidden="1" customWidth="1"/>
    <col min="2818" max="2818" width="7.140625" style="151" customWidth="1"/>
    <col min="2819" max="2819" width="13.42578125" style="151" customWidth="1"/>
    <col min="2820" max="2820" width="19.7109375" style="151" customWidth="1"/>
    <col min="2821" max="2821" width="26.85546875" style="151" customWidth="1"/>
    <col min="2822" max="2825" width="16.7109375" style="151" customWidth="1"/>
    <col min="2826" max="2826" width="17.85546875" style="151" customWidth="1"/>
    <col min="2827" max="2827" width="12.85546875" style="151" customWidth="1"/>
    <col min="2828" max="2829" width="10.7109375" style="151" customWidth="1"/>
    <col min="2830" max="3072" width="9.140625" style="151"/>
    <col min="3073" max="3073" width="0" style="151" hidden="1" customWidth="1"/>
    <col min="3074" max="3074" width="7.140625" style="151" customWidth="1"/>
    <col min="3075" max="3075" width="13.42578125" style="151" customWidth="1"/>
    <col min="3076" max="3076" width="19.7109375" style="151" customWidth="1"/>
    <col min="3077" max="3077" width="26.85546875" style="151" customWidth="1"/>
    <col min="3078" max="3081" width="16.7109375" style="151" customWidth="1"/>
    <col min="3082" max="3082" width="17.85546875" style="151" customWidth="1"/>
    <col min="3083" max="3083" width="12.85546875" style="151" customWidth="1"/>
    <col min="3084" max="3085" width="10.7109375" style="151" customWidth="1"/>
    <col min="3086" max="3328" width="9.140625" style="151"/>
    <col min="3329" max="3329" width="0" style="151" hidden="1" customWidth="1"/>
    <col min="3330" max="3330" width="7.140625" style="151" customWidth="1"/>
    <col min="3331" max="3331" width="13.42578125" style="151" customWidth="1"/>
    <col min="3332" max="3332" width="19.7109375" style="151" customWidth="1"/>
    <col min="3333" max="3333" width="26.85546875" style="151" customWidth="1"/>
    <col min="3334" max="3337" width="16.7109375" style="151" customWidth="1"/>
    <col min="3338" max="3338" width="17.85546875" style="151" customWidth="1"/>
    <col min="3339" max="3339" width="12.85546875" style="151" customWidth="1"/>
    <col min="3340" max="3341" width="10.7109375" style="151" customWidth="1"/>
    <col min="3342" max="3584" width="9.140625" style="151"/>
    <col min="3585" max="3585" width="0" style="151" hidden="1" customWidth="1"/>
    <col min="3586" max="3586" width="7.140625" style="151" customWidth="1"/>
    <col min="3587" max="3587" width="13.42578125" style="151" customWidth="1"/>
    <col min="3588" max="3588" width="19.7109375" style="151" customWidth="1"/>
    <col min="3589" max="3589" width="26.85546875" style="151" customWidth="1"/>
    <col min="3590" max="3593" width="16.7109375" style="151" customWidth="1"/>
    <col min="3594" max="3594" width="17.85546875" style="151" customWidth="1"/>
    <col min="3595" max="3595" width="12.85546875" style="151" customWidth="1"/>
    <col min="3596" max="3597" width="10.7109375" style="151" customWidth="1"/>
    <col min="3598" max="3840" width="9.140625" style="151"/>
    <col min="3841" max="3841" width="0" style="151" hidden="1" customWidth="1"/>
    <col min="3842" max="3842" width="7.140625" style="151" customWidth="1"/>
    <col min="3843" max="3843" width="13.42578125" style="151" customWidth="1"/>
    <col min="3844" max="3844" width="19.7109375" style="151" customWidth="1"/>
    <col min="3845" max="3845" width="26.85546875" style="151" customWidth="1"/>
    <col min="3846" max="3849" width="16.7109375" style="151" customWidth="1"/>
    <col min="3850" max="3850" width="17.85546875" style="151" customWidth="1"/>
    <col min="3851" max="3851" width="12.85546875" style="151" customWidth="1"/>
    <col min="3852" max="3853" width="10.7109375" style="151" customWidth="1"/>
    <col min="3854" max="4096" width="9.140625" style="151"/>
    <col min="4097" max="4097" width="0" style="151" hidden="1" customWidth="1"/>
    <col min="4098" max="4098" width="7.140625" style="151" customWidth="1"/>
    <col min="4099" max="4099" width="13.42578125" style="151" customWidth="1"/>
    <col min="4100" max="4100" width="19.7109375" style="151" customWidth="1"/>
    <col min="4101" max="4101" width="26.85546875" style="151" customWidth="1"/>
    <col min="4102" max="4105" width="16.7109375" style="151" customWidth="1"/>
    <col min="4106" max="4106" width="17.85546875" style="151" customWidth="1"/>
    <col min="4107" max="4107" width="12.85546875" style="151" customWidth="1"/>
    <col min="4108" max="4109" width="10.7109375" style="151" customWidth="1"/>
    <col min="4110" max="4352" width="9.140625" style="151"/>
    <col min="4353" max="4353" width="0" style="151" hidden="1" customWidth="1"/>
    <col min="4354" max="4354" width="7.140625" style="151" customWidth="1"/>
    <col min="4355" max="4355" width="13.42578125" style="151" customWidth="1"/>
    <col min="4356" max="4356" width="19.7109375" style="151" customWidth="1"/>
    <col min="4357" max="4357" width="26.85546875" style="151" customWidth="1"/>
    <col min="4358" max="4361" width="16.7109375" style="151" customWidth="1"/>
    <col min="4362" max="4362" width="17.85546875" style="151" customWidth="1"/>
    <col min="4363" max="4363" width="12.85546875" style="151" customWidth="1"/>
    <col min="4364" max="4365" width="10.7109375" style="151" customWidth="1"/>
    <col min="4366" max="4608" width="9.140625" style="151"/>
    <col min="4609" max="4609" width="0" style="151" hidden="1" customWidth="1"/>
    <col min="4610" max="4610" width="7.140625" style="151" customWidth="1"/>
    <col min="4611" max="4611" width="13.42578125" style="151" customWidth="1"/>
    <col min="4612" max="4612" width="19.7109375" style="151" customWidth="1"/>
    <col min="4613" max="4613" width="26.85546875" style="151" customWidth="1"/>
    <col min="4614" max="4617" width="16.7109375" style="151" customWidth="1"/>
    <col min="4618" max="4618" width="17.85546875" style="151" customWidth="1"/>
    <col min="4619" max="4619" width="12.85546875" style="151" customWidth="1"/>
    <col min="4620" max="4621" width="10.7109375" style="151" customWidth="1"/>
    <col min="4622" max="4864" width="9.140625" style="151"/>
    <col min="4865" max="4865" width="0" style="151" hidden="1" customWidth="1"/>
    <col min="4866" max="4866" width="7.140625" style="151" customWidth="1"/>
    <col min="4867" max="4867" width="13.42578125" style="151" customWidth="1"/>
    <col min="4868" max="4868" width="19.7109375" style="151" customWidth="1"/>
    <col min="4869" max="4869" width="26.85546875" style="151" customWidth="1"/>
    <col min="4870" max="4873" width="16.7109375" style="151" customWidth="1"/>
    <col min="4874" max="4874" width="17.85546875" style="151" customWidth="1"/>
    <col min="4875" max="4875" width="12.85546875" style="151" customWidth="1"/>
    <col min="4876" max="4877" width="10.7109375" style="151" customWidth="1"/>
    <col min="4878" max="5120" width="9.140625" style="151"/>
    <col min="5121" max="5121" width="0" style="151" hidden="1" customWidth="1"/>
    <col min="5122" max="5122" width="7.140625" style="151" customWidth="1"/>
    <col min="5123" max="5123" width="13.42578125" style="151" customWidth="1"/>
    <col min="5124" max="5124" width="19.7109375" style="151" customWidth="1"/>
    <col min="5125" max="5125" width="26.85546875" style="151" customWidth="1"/>
    <col min="5126" max="5129" width="16.7109375" style="151" customWidth="1"/>
    <col min="5130" max="5130" width="17.85546875" style="151" customWidth="1"/>
    <col min="5131" max="5131" width="12.85546875" style="151" customWidth="1"/>
    <col min="5132" max="5133" width="10.7109375" style="151" customWidth="1"/>
    <col min="5134" max="5376" width="9.140625" style="151"/>
    <col min="5377" max="5377" width="0" style="151" hidden="1" customWidth="1"/>
    <col min="5378" max="5378" width="7.140625" style="151" customWidth="1"/>
    <col min="5379" max="5379" width="13.42578125" style="151" customWidth="1"/>
    <col min="5380" max="5380" width="19.7109375" style="151" customWidth="1"/>
    <col min="5381" max="5381" width="26.85546875" style="151" customWidth="1"/>
    <col min="5382" max="5385" width="16.7109375" style="151" customWidth="1"/>
    <col min="5386" max="5386" width="17.85546875" style="151" customWidth="1"/>
    <col min="5387" max="5387" width="12.85546875" style="151" customWidth="1"/>
    <col min="5388" max="5389" width="10.7109375" style="151" customWidth="1"/>
    <col min="5390" max="5632" width="9.140625" style="151"/>
    <col min="5633" max="5633" width="0" style="151" hidden="1" customWidth="1"/>
    <col min="5634" max="5634" width="7.140625" style="151" customWidth="1"/>
    <col min="5635" max="5635" width="13.42578125" style="151" customWidth="1"/>
    <col min="5636" max="5636" width="19.7109375" style="151" customWidth="1"/>
    <col min="5637" max="5637" width="26.85546875" style="151" customWidth="1"/>
    <col min="5638" max="5641" width="16.7109375" style="151" customWidth="1"/>
    <col min="5642" max="5642" width="17.85546875" style="151" customWidth="1"/>
    <col min="5643" max="5643" width="12.85546875" style="151" customWidth="1"/>
    <col min="5644" max="5645" width="10.7109375" style="151" customWidth="1"/>
    <col min="5646" max="5888" width="9.140625" style="151"/>
    <col min="5889" max="5889" width="0" style="151" hidden="1" customWidth="1"/>
    <col min="5890" max="5890" width="7.140625" style="151" customWidth="1"/>
    <col min="5891" max="5891" width="13.42578125" style="151" customWidth="1"/>
    <col min="5892" max="5892" width="19.7109375" style="151" customWidth="1"/>
    <col min="5893" max="5893" width="26.85546875" style="151" customWidth="1"/>
    <col min="5894" max="5897" width="16.7109375" style="151" customWidth="1"/>
    <col min="5898" max="5898" width="17.85546875" style="151" customWidth="1"/>
    <col min="5899" max="5899" width="12.85546875" style="151" customWidth="1"/>
    <col min="5900" max="5901" width="10.7109375" style="151" customWidth="1"/>
    <col min="5902" max="6144" width="9.140625" style="151"/>
    <col min="6145" max="6145" width="0" style="151" hidden="1" customWidth="1"/>
    <col min="6146" max="6146" width="7.140625" style="151" customWidth="1"/>
    <col min="6147" max="6147" width="13.42578125" style="151" customWidth="1"/>
    <col min="6148" max="6148" width="19.7109375" style="151" customWidth="1"/>
    <col min="6149" max="6149" width="26.85546875" style="151" customWidth="1"/>
    <col min="6150" max="6153" width="16.7109375" style="151" customWidth="1"/>
    <col min="6154" max="6154" width="17.85546875" style="151" customWidth="1"/>
    <col min="6155" max="6155" width="12.85546875" style="151" customWidth="1"/>
    <col min="6156" max="6157" width="10.7109375" style="151" customWidth="1"/>
    <col min="6158" max="6400" width="9.140625" style="151"/>
    <col min="6401" max="6401" width="0" style="151" hidden="1" customWidth="1"/>
    <col min="6402" max="6402" width="7.140625" style="151" customWidth="1"/>
    <col min="6403" max="6403" width="13.42578125" style="151" customWidth="1"/>
    <col min="6404" max="6404" width="19.7109375" style="151" customWidth="1"/>
    <col min="6405" max="6405" width="26.85546875" style="151" customWidth="1"/>
    <col min="6406" max="6409" width="16.7109375" style="151" customWidth="1"/>
    <col min="6410" max="6410" width="17.85546875" style="151" customWidth="1"/>
    <col min="6411" max="6411" width="12.85546875" style="151" customWidth="1"/>
    <col min="6412" max="6413" width="10.7109375" style="151" customWidth="1"/>
    <col min="6414" max="6656" width="9.140625" style="151"/>
    <col min="6657" max="6657" width="0" style="151" hidden="1" customWidth="1"/>
    <col min="6658" max="6658" width="7.140625" style="151" customWidth="1"/>
    <col min="6659" max="6659" width="13.42578125" style="151" customWidth="1"/>
    <col min="6660" max="6660" width="19.7109375" style="151" customWidth="1"/>
    <col min="6661" max="6661" width="26.85546875" style="151" customWidth="1"/>
    <col min="6662" max="6665" width="16.7109375" style="151" customWidth="1"/>
    <col min="6666" max="6666" width="17.85546875" style="151" customWidth="1"/>
    <col min="6667" max="6667" width="12.85546875" style="151" customWidth="1"/>
    <col min="6668" max="6669" width="10.7109375" style="151" customWidth="1"/>
    <col min="6670" max="6912" width="9.140625" style="151"/>
    <col min="6913" max="6913" width="0" style="151" hidden="1" customWidth="1"/>
    <col min="6914" max="6914" width="7.140625" style="151" customWidth="1"/>
    <col min="6915" max="6915" width="13.42578125" style="151" customWidth="1"/>
    <col min="6916" max="6916" width="19.7109375" style="151" customWidth="1"/>
    <col min="6917" max="6917" width="26.85546875" style="151" customWidth="1"/>
    <col min="6918" max="6921" width="16.7109375" style="151" customWidth="1"/>
    <col min="6922" max="6922" width="17.85546875" style="151" customWidth="1"/>
    <col min="6923" max="6923" width="12.85546875" style="151" customWidth="1"/>
    <col min="6924" max="6925" width="10.7109375" style="151" customWidth="1"/>
    <col min="6926" max="7168" width="9.140625" style="151"/>
    <col min="7169" max="7169" width="0" style="151" hidden="1" customWidth="1"/>
    <col min="7170" max="7170" width="7.140625" style="151" customWidth="1"/>
    <col min="7171" max="7171" width="13.42578125" style="151" customWidth="1"/>
    <col min="7172" max="7172" width="19.7109375" style="151" customWidth="1"/>
    <col min="7173" max="7173" width="26.85546875" style="151" customWidth="1"/>
    <col min="7174" max="7177" width="16.7109375" style="151" customWidth="1"/>
    <col min="7178" max="7178" width="17.85546875" style="151" customWidth="1"/>
    <col min="7179" max="7179" width="12.85546875" style="151" customWidth="1"/>
    <col min="7180" max="7181" width="10.7109375" style="151" customWidth="1"/>
    <col min="7182" max="7424" width="9.140625" style="151"/>
    <col min="7425" max="7425" width="0" style="151" hidden="1" customWidth="1"/>
    <col min="7426" max="7426" width="7.140625" style="151" customWidth="1"/>
    <col min="7427" max="7427" width="13.42578125" style="151" customWidth="1"/>
    <col min="7428" max="7428" width="19.7109375" style="151" customWidth="1"/>
    <col min="7429" max="7429" width="26.85546875" style="151" customWidth="1"/>
    <col min="7430" max="7433" width="16.7109375" style="151" customWidth="1"/>
    <col min="7434" max="7434" width="17.85546875" style="151" customWidth="1"/>
    <col min="7435" max="7435" width="12.85546875" style="151" customWidth="1"/>
    <col min="7436" max="7437" width="10.7109375" style="151" customWidth="1"/>
    <col min="7438" max="7680" width="9.140625" style="151"/>
    <col min="7681" max="7681" width="0" style="151" hidden="1" customWidth="1"/>
    <col min="7682" max="7682" width="7.140625" style="151" customWidth="1"/>
    <col min="7683" max="7683" width="13.42578125" style="151" customWidth="1"/>
    <col min="7684" max="7684" width="19.7109375" style="151" customWidth="1"/>
    <col min="7685" max="7685" width="26.85546875" style="151" customWidth="1"/>
    <col min="7686" max="7689" width="16.7109375" style="151" customWidth="1"/>
    <col min="7690" max="7690" width="17.85546875" style="151" customWidth="1"/>
    <col min="7691" max="7691" width="12.85546875" style="151" customWidth="1"/>
    <col min="7692" max="7693" width="10.7109375" style="151" customWidth="1"/>
    <col min="7694" max="7936" width="9.140625" style="151"/>
    <col min="7937" max="7937" width="0" style="151" hidden="1" customWidth="1"/>
    <col min="7938" max="7938" width="7.140625" style="151" customWidth="1"/>
    <col min="7939" max="7939" width="13.42578125" style="151" customWidth="1"/>
    <col min="7940" max="7940" width="19.7109375" style="151" customWidth="1"/>
    <col min="7941" max="7941" width="26.85546875" style="151" customWidth="1"/>
    <col min="7942" max="7945" width="16.7109375" style="151" customWidth="1"/>
    <col min="7946" max="7946" width="17.85546875" style="151" customWidth="1"/>
    <col min="7947" max="7947" width="12.85546875" style="151" customWidth="1"/>
    <col min="7948" max="7949" width="10.7109375" style="151" customWidth="1"/>
    <col min="7950" max="8192" width="9.140625" style="151"/>
    <col min="8193" max="8193" width="0" style="151" hidden="1" customWidth="1"/>
    <col min="8194" max="8194" width="7.140625" style="151" customWidth="1"/>
    <col min="8195" max="8195" width="13.42578125" style="151" customWidth="1"/>
    <col min="8196" max="8196" width="19.7109375" style="151" customWidth="1"/>
    <col min="8197" max="8197" width="26.85546875" style="151" customWidth="1"/>
    <col min="8198" max="8201" width="16.7109375" style="151" customWidth="1"/>
    <col min="8202" max="8202" width="17.85546875" style="151" customWidth="1"/>
    <col min="8203" max="8203" width="12.85546875" style="151" customWidth="1"/>
    <col min="8204" max="8205" width="10.7109375" style="151" customWidth="1"/>
    <col min="8206" max="8448" width="9.140625" style="151"/>
    <col min="8449" max="8449" width="0" style="151" hidden="1" customWidth="1"/>
    <col min="8450" max="8450" width="7.140625" style="151" customWidth="1"/>
    <col min="8451" max="8451" width="13.42578125" style="151" customWidth="1"/>
    <col min="8452" max="8452" width="19.7109375" style="151" customWidth="1"/>
    <col min="8453" max="8453" width="26.85546875" style="151" customWidth="1"/>
    <col min="8454" max="8457" width="16.7109375" style="151" customWidth="1"/>
    <col min="8458" max="8458" width="17.85546875" style="151" customWidth="1"/>
    <col min="8459" max="8459" width="12.85546875" style="151" customWidth="1"/>
    <col min="8460" max="8461" width="10.7109375" style="151" customWidth="1"/>
    <col min="8462" max="8704" width="9.140625" style="151"/>
    <col min="8705" max="8705" width="0" style="151" hidden="1" customWidth="1"/>
    <col min="8706" max="8706" width="7.140625" style="151" customWidth="1"/>
    <col min="8707" max="8707" width="13.42578125" style="151" customWidth="1"/>
    <col min="8708" max="8708" width="19.7109375" style="151" customWidth="1"/>
    <col min="8709" max="8709" width="26.85546875" style="151" customWidth="1"/>
    <col min="8710" max="8713" width="16.7109375" style="151" customWidth="1"/>
    <col min="8714" max="8714" width="17.85546875" style="151" customWidth="1"/>
    <col min="8715" max="8715" width="12.85546875" style="151" customWidth="1"/>
    <col min="8716" max="8717" width="10.7109375" style="151" customWidth="1"/>
    <col min="8718" max="8960" width="9.140625" style="151"/>
    <col min="8961" max="8961" width="0" style="151" hidden="1" customWidth="1"/>
    <col min="8962" max="8962" width="7.140625" style="151" customWidth="1"/>
    <col min="8963" max="8963" width="13.42578125" style="151" customWidth="1"/>
    <col min="8964" max="8964" width="19.7109375" style="151" customWidth="1"/>
    <col min="8965" max="8965" width="26.85546875" style="151" customWidth="1"/>
    <col min="8966" max="8969" width="16.7109375" style="151" customWidth="1"/>
    <col min="8970" max="8970" width="17.85546875" style="151" customWidth="1"/>
    <col min="8971" max="8971" width="12.85546875" style="151" customWidth="1"/>
    <col min="8972" max="8973" width="10.7109375" style="151" customWidth="1"/>
    <col min="8974" max="9216" width="9.140625" style="151"/>
    <col min="9217" max="9217" width="0" style="151" hidden="1" customWidth="1"/>
    <col min="9218" max="9218" width="7.140625" style="151" customWidth="1"/>
    <col min="9219" max="9219" width="13.42578125" style="151" customWidth="1"/>
    <col min="9220" max="9220" width="19.7109375" style="151" customWidth="1"/>
    <col min="9221" max="9221" width="26.85546875" style="151" customWidth="1"/>
    <col min="9222" max="9225" width="16.7109375" style="151" customWidth="1"/>
    <col min="9226" max="9226" width="17.85546875" style="151" customWidth="1"/>
    <col min="9227" max="9227" width="12.85546875" style="151" customWidth="1"/>
    <col min="9228" max="9229" width="10.7109375" style="151" customWidth="1"/>
    <col min="9230" max="9472" width="9.140625" style="151"/>
    <col min="9473" max="9473" width="0" style="151" hidden="1" customWidth="1"/>
    <col min="9474" max="9474" width="7.140625" style="151" customWidth="1"/>
    <col min="9475" max="9475" width="13.42578125" style="151" customWidth="1"/>
    <col min="9476" max="9476" width="19.7109375" style="151" customWidth="1"/>
    <col min="9477" max="9477" width="26.85546875" style="151" customWidth="1"/>
    <col min="9478" max="9481" width="16.7109375" style="151" customWidth="1"/>
    <col min="9482" max="9482" width="17.85546875" style="151" customWidth="1"/>
    <col min="9483" max="9483" width="12.85546875" style="151" customWidth="1"/>
    <col min="9484" max="9485" width="10.7109375" style="151" customWidth="1"/>
    <col min="9486" max="9728" width="9.140625" style="151"/>
    <col min="9729" max="9729" width="0" style="151" hidden="1" customWidth="1"/>
    <col min="9730" max="9730" width="7.140625" style="151" customWidth="1"/>
    <col min="9731" max="9731" width="13.42578125" style="151" customWidth="1"/>
    <col min="9732" max="9732" width="19.7109375" style="151" customWidth="1"/>
    <col min="9733" max="9733" width="26.85546875" style="151" customWidth="1"/>
    <col min="9734" max="9737" width="16.7109375" style="151" customWidth="1"/>
    <col min="9738" max="9738" width="17.85546875" style="151" customWidth="1"/>
    <col min="9739" max="9739" width="12.85546875" style="151" customWidth="1"/>
    <col min="9740" max="9741" width="10.7109375" style="151" customWidth="1"/>
    <col min="9742" max="9984" width="9.140625" style="151"/>
    <col min="9985" max="9985" width="0" style="151" hidden="1" customWidth="1"/>
    <col min="9986" max="9986" width="7.140625" style="151" customWidth="1"/>
    <col min="9987" max="9987" width="13.42578125" style="151" customWidth="1"/>
    <col min="9988" max="9988" width="19.7109375" style="151" customWidth="1"/>
    <col min="9989" max="9989" width="26.85546875" style="151" customWidth="1"/>
    <col min="9990" max="9993" width="16.7109375" style="151" customWidth="1"/>
    <col min="9994" max="9994" width="17.85546875" style="151" customWidth="1"/>
    <col min="9995" max="9995" width="12.85546875" style="151" customWidth="1"/>
    <col min="9996" max="9997" width="10.7109375" style="151" customWidth="1"/>
    <col min="9998" max="10240" width="9.140625" style="151"/>
    <col min="10241" max="10241" width="0" style="151" hidden="1" customWidth="1"/>
    <col min="10242" max="10242" width="7.140625" style="151" customWidth="1"/>
    <col min="10243" max="10243" width="13.42578125" style="151" customWidth="1"/>
    <col min="10244" max="10244" width="19.7109375" style="151" customWidth="1"/>
    <col min="10245" max="10245" width="26.85546875" style="151" customWidth="1"/>
    <col min="10246" max="10249" width="16.7109375" style="151" customWidth="1"/>
    <col min="10250" max="10250" width="17.85546875" style="151" customWidth="1"/>
    <col min="10251" max="10251" width="12.85546875" style="151" customWidth="1"/>
    <col min="10252" max="10253" width="10.7109375" style="151" customWidth="1"/>
    <col min="10254" max="10496" width="9.140625" style="151"/>
    <col min="10497" max="10497" width="0" style="151" hidden="1" customWidth="1"/>
    <col min="10498" max="10498" width="7.140625" style="151" customWidth="1"/>
    <col min="10499" max="10499" width="13.42578125" style="151" customWidth="1"/>
    <col min="10500" max="10500" width="19.7109375" style="151" customWidth="1"/>
    <col min="10501" max="10501" width="26.85546875" style="151" customWidth="1"/>
    <col min="10502" max="10505" width="16.7109375" style="151" customWidth="1"/>
    <col min="10506" max="10506" width="17.85546875" style="151" customWidth="1"/>
    <col min="10507" max="10507" width="12.85546875" style="151" customWidth="1"/>
    <col min="10508" max="10509" width="10.7109375" style="151" customWidth="1"/>
    <col min="10510" max="10752" width="9.140625" style="151"/>
    <col min="10753" max="10753" width="0" style="151" hidden="1" customWidth="1"/>
    <col min="10754" max="10754" width="7.140625" style="151" customWidth="1"/>
    <col min="10755" max="10755" width="13.42578125" style="151" customWidth="1"/>
    <col min="10756" max="10756" width="19.7109375" style="151" customWidth="1"/>
    <col min="10757" max="10757" width="26.85546875" style="151" customWidth="1"/>
    <col min="10758" max="10761" width="16.7109375" style="151" customWidth="1"/>
    <col min="10762" max="10762" width="17.85546875" style="151" customWidth="1"/>
    <col min="10763" max="10763" width="12.85546875" style="151" customWidth="1"/>
    <col min="10764" max="10765" width="10.7109375" style="151" customWidth="1"/>
    <col min="10766" max="11008" width="9.140625" style="151"/>
    <col min="11009" max="11009" width="0" style="151" hidden="1" customWidth="1"/>
    <col min="11010" max="11010" width="7.140625" style="151" customWidth="1"/>
    <col min="11011" max="11011" width="13.42578125" style="151" customWidth="1"/>
    <col min="11012" max="11012" width="19.7109375" style="151" customWidth="1"/>
    <col min="11013" max="11013" width="26.85546875" style="151" customWidth="1"/>
    <col min="11014" max="11017" width="16.7109375" style="151" customWidth="1"/>
    <col min="11018" max="11018" width="17.85546875" style="151" customWidth="1"/>
    <col min="11019" max="11019" width="12.85546875" style="151" customWidth="1"/>
    <col min="11020" max="11021" width="10.7109375" style="151" customWidth="1"/>
    <col min="11022" max="11264" width="9.140625" style="151"/>
    <col min="11265" max="11265" width="0" style="151" hidden="1" customWidth="1"/>
    <col min="11266" max="11266" width="7.140625" style="151" customWidth="1"/>
    <col min="11267" max="11267" width="13.42578125" style="151" customWidth="1"/>
    <col min="11268" max="11268" width="19.7109375" style="151" customWidth="1"/>
    <col min="11269" max="11269" width="26.85546875" style="151" customWidth="1"/>
    <col min="11270" max="11273" width="16.7109375" style="151" customWidth="1"/>
    <col min="11274" max="11274" width="17.85546875" style="151" customWidth="1"/>
    <col min="11275" max="11275" width="12.85546875" style="151" customWidth="1"/>
    <col min="11276" max="11277" width="10.7109375" style="151" customWidth="1"/>
    <col min="11278" max="11520" width="9.140625" style="151"/>
    <col min="11521" max="11521" width="0" style="151" hidden="1" customWidth="1"/>
    <col min="11522" max="11522" width="7.140625" style="151" customWidth="1"/>
    <col min="11523" max="11523" width="13.42578125" style="151" customWidth="1"/>
    <col min="11524" max="11524" width="19.7109375" style="151" customWidth="1"/>
    <col min="11525" max="11525" width="26.85546875" style="151" customWidth="1"/>
    <col min="11526" max="11529" width="16.7109375" style="151" customWidth="1"/>
    <col min="11530" max="11530" width="17.85546875" style="151" customWidth="1"/>
    <col min="11531" max="11531" width="12.85546875" style="151" customWidth="1"/>
    <col min="11532" max="11533" width="10.7109375" style="151" customWidth="1"/>
    <col min="11534" max="11776" width="9.140625" style="151"/>
    <col min="11777" max="11777" width="0" style="151" hidden="1" customWidth="1"/>
    <col min="11778" max="11778" width="7.140625" style="151" customWidth="1"/>
    <col min="11779" max="11779" width="13.42578125" style="151" customWidth="1"/>
    <col min="11780" max="11780" width="19.7109375" style="151" customWidth="1"/>
    <col min="11781" max="11781" width="26.85546875" style="151" customWidth="1"/>
    <col min="11782" max="11785" width="16.7109375" style="151" customWidth="1"/>
    <col min="11786" max="11786" width="17.85546875" style="151" customWidth="1"/>
    <col min="11787" max="11787" width="12.85546875" style="151" customWidth="1"/>
    <col min="11788" max="11789" width="10.7109375" style="151" customWidth="1"/>
    <col min="11790" max="12032" width="9.140625" style="151"/>
    <col min="12033" max="12033" width="0" style="151" hidden="1" customWidth="1"/>
    <col min="12034" max="12034" width="7.140625" style="151" customWidth="1"/>
    <col min="12035" max="12035" width="13.42578125" style="151" customWidth="1"/>
    <col min="12036" max="12036" width="19.7109375" style="151" customWidth="1"/>
    <col min="12037" max="12037" width="26.85546875" style="151" customWidth="1"/>
    <col min="12038" max="12041" width="16.7109375" style="151" customWidth="1"/>
    <col min="12042" max="12042" width="17.85546875" style="151" customWidth="1"/>
    <col min="12043" max="12043" width="12.85546875" style="151" customWidth="1"/>
    <col min="12044" max="12045" width="10.7109375" style="151" customWidth="1"/>
    <col min="12046" max="12288" width="9.140625" style="151"/>
    <col min="12289" max="12289" width="0" style="151" hidden="1" customWidth="1"/>
    <col min="12290" max="12290" width="7.140625" style="151" customWidth="1"/>
    <col min="12291" max="12291" width="13.42578125" style="151" customWidth="1"/>
    <col min="12292" max="12292" width="19.7109375" style="151" customWidth="1"/>
    <col min="12293" max="12293" width="26.85546875" style="151" customWidth="1"/>
    <col min="12294" max="12297" width="16.7109375" style="151" customWidth="1"/>
    <col min="12298" max="12298" width="17.85546875" style="151" customWidth="1"/>
    <col min="12299" max="12299" width="12.85546875" style="151" customWidth="1"/>
    <col min="12300" max="12301" width="10.7109375" style="151" customWidth="1"/>
    <col min="12302" max="12544" width="9.140625" style="151"/>
    <col min="12545" max="12545" width="0" style="151" hidden="1" customWidth="1"/>
    <col min="12546" max="12546" width="7.140625" style="151" customWidth="1"/>
    <col min="12547" max="12547" width="13.42578125" style="151" customWidth="1"/>
    <col min="12548" max="12548" width="19.7109375" style="151" customWidth="1"/>
    <col min="12549" max="12549" width="26.85546875" style="151" customWidth="1"/>
    <col min="12550" max="12553" width="16.7109375" style="151" customWidth="1"/>
    <col min="12554" max="12554" width="17.85546875" style="151" customWidth="1"/>
    <col min="12555" max="12555" width="12.85546875" style="151" customWidth="1"/>
    <col min="12556" max="12557" width="10.7109375" style="151" customWidth="1"/>
    <col min="12558" max="12800" width="9.140625" style="151"/>
    <col min="12801" max="12801" width="0" style="151" hidden="1" customWidth="1"/>
    <col min="12802" max="12802" width="7.140625" style="151" customWidth="1"/>
    <col min="12803" max="12803" width="13.42578125" style="151" customWidth="1"/>
    <col min="12804" max="12804" width="19.7109375" style="151" customWidth="1"/>
    <col min="12805" max="12805" width="26.85546875" style="151" customWidth="1"/>
    <col min="12806" max="12809" width="16.7109375" style="151" customWidth="1"/>
    <col min="12810" max="12810" width="17.85546875" style="151" customWidth="1"/>
    <col min="12811" max="12811" width="12.85546875" style="151" customWidth="1"/>
    <col min="12812" max="12813" width="10.7109375" style="151" customWidth="1"/>
    <col min="12814" max="13056" width="9.140625" style="151"/>
    <col min="13057" max="13057" width="0" style="151" hidden="1" customWidth="1"/>
    <col min="13058" max="13058" width="7.140625" style="151" customWidth="1"/>
    <col min="13059" max="13059" width="13.42578125" style="151" customWidth="1"/>
    <col min="13060" max="13060" width="19.7109375" style="151" customWidth="1"/>
    <col min="13061" max="13061" width="26.85546875" style="151" customWidth="1"/>
    <col min="13062" max="13065" width="16.7109375" style="151" customWidth="1"/>
    <col min="13066" max="13066" width="17.85546875" style="151" customWidth="1"/>
    <col min="13067" max="13067" width="12.85546875" style="151" customWidth="1"/>
    <col min="13068" max="13069" width="10.7109375" style="151" customWidth="1"/>
    <col min="13070" max="13312" width="9.140625" style="151"/>
    <col min="13313" max="13313" width="0" style="151" hidden="1" customWidth="1"/>
    <col min="13314" max="13314" width="7.140625" style="151" customWidth="1"/>
    <col min="13315" max="13315" width="13.42578125" style="151" customWidth="1"/>
    <col min="13316" max="13316" width="19.7109375" style="151" customWidth="1"/>
    <col min="13317" max="13317" width="26.85546875" style="151" customWidth="1"/>
    <col min="13318" max="13321" width="16.7109375" style="151" customWidth="1"/>
    <col min="13322" max="13322" width="17.85546875" style="151" customWidth="1"/>
    <col min="13323" max="13323" width="12.85546875" style="151" customWidth="1"/>
    <col min="13324" max="13325" width="10.7109375" style="151" customWidth="1"/>
    <col min="13326" max="13568" width="9.140625" style="151"/>
    <col min="13569" max="13569" width="0" style="151" hidden="1" customWidth="1"/>
    <col min="13570" max="13570" width="7.140625" style="151" customWidth="1"/>
    <col min="13571" max="13571" width="13.42578125" style="151" customWidth="1"/>
    <col min="13572" max="13572" width="19.7109375" style="151" customWidth="1"/>
    <col min="13573" max="13573" width="26.85546875" style="151" customWidth="1"/>
    <col min="13574" max="13577" width="16.7109375" style="151" customWidth="1"/>
    <col min="13578" max="13578" width="17.85546875" style="151" customWidth="1"/>
    <col min="13579" max="13579" width="12.85546875" style="151" customWidth="1"/>
    <col min="13580" max="13581" width="10.7109375" style="151" customWidth="1"/>
    <col min="13582" max="13824" width="9.140625" style="151"/>
    <col min="13825" max="13825" width="0" style="151" hidden="1" customWidth="1"/>
    <col min="13826" max="13826" width="7.140625" style="151" customWidth="1"/>
    <col min="13827" max="13827" width="13.42578125" style="151" customWidth="1"/>
    <col min="13828" max="13828" width="19.7109375" style="151" customWidth="1"/>
    <col min="13829" max="13829" width="26.85546875" style="151" customWidth="1"/>
    <col min="13830" max="13833" width="16.7109375" style="151" customWidth="1"/>
    <col min="13834" max="13834" width="17.85546875" style="151" customWidth="1"/>
    <col min="13835" max="13835" width="12.85546875" style="151" customWidth="1"/>
    <col min="13836" max="13837" width="10.7109375" style="151" customWidth="1"/>
    <col min="13838" max="14080" width="9.140625" style="151"/>
    <col min="14081" max="14081" width="0" style="151" hidden="1" customWidth="1"/>
    <col min="14082" max="14082" width="7.140625" style="151" customWidth="1"/>
    <col min="14083" max="14083" width="13.42578125" style="151" customWidth="1"/>
    <col min="14084" max="14084" width="19.7109375" style="151" customWidth="1"/>
    <col min="14085" max="14085" width="26.85546875" style="151" customWidth="1"/>
    <col min="14086" max="14089" width="16.7109375" style="151" customWidth="1"/>
    <col min="14090" max="14090" width="17.85546875" style="151" customWidth="1"/>
    <col min="14091" max="14091" width="12.85546875" style="151" customWidth="1"/>
    <col min="14092" max="14093" width="10.7109375" style="151" customWidth="1"/>
    <col min="14094" max="14336" width="9.140625" style="151"/>
    <col min="14337" max="14337" width="0" style="151" hidden="1" customWidth="1"/>
    <col min="14338" max="14338" width="7.140625" style="151" customWidth="1"/>
    <col min="14339" max="14339" width="13.42578125" style="151" customWidth="1"/>
    <col min="14340" max="14340" width="19.7109375" style="151" customWidth="1"/>
    <col min="14341" max="14341" width="26.85546875" style="151" customWidth="1"/>
    <col min="14342" max="14345" width="16.7109375" style="151" customWidth="1"/>
    <col min="14346" max="14346" width="17.85546875" style="151" customWidth="1"/>
    <col min="14347" max="14347" width="12.85546875" style="151" customWidth="1"/>
    <col min="14348" max="14349" width="10.7109375" style="151" customWidth="1"/>
    <col min="14350" max="14592" width="9.140625" style="151"/>
    <col min="14593" max="14593" width="0" style="151" hidden="1" customWidth="1"/>
    <col min="14594" max="14594" width="7.140625" style="151" customWidth="1"/>
    <col min="14595" max="14595" width="13.42578125" style="151" customWidth="1"/>
    <col min="14596" max="14596" width="19.7109375" style="151" customWidth="1"/>
    <col min="14597" max="14597" width="26.85546875" style="151" customWidth="1"/>
    <col min="14598" max="14601" width="16.7109375" style="151" customWidth="1"/>
    <col min="14602" max="14602" width="17.85546875" style="151" customWidth="1"/>
    <col min="14603" max="14603" width="12.85546875" style="151" customWidth="1"/>
    <col min="14604" max="14605" width="10.7109375" style="151" customWidth="1"/>
    <col min="14606" max="14848" width="9.140625" style="151"/>
    <col min="14849" max="14849" width="0" style="151" hidden="1" customWidth="1"/>
    <col min="14850" max="14850" width="7.140625" style="151" customWidth="1"/>
    <col min="14851" max="14851" width="13.42578125" style="151" customWidth="1"/>
    <col min="14852" max="14852" width="19.7109375" style="151" customWidth="1"/>
    <col min="14853" max="14853" width="26.85546875" style="151" customWidth="1"/>
    <col min="14854" max="14857" width="16.7109375" style="151" customWidth="1"/>
    <col min="14858" max="14858" width="17.85546875" style="151" customWidth="1"/>
    <col min="14859" max="14859" width="12.85546875" style="151" customWidth="1"/>
    <col min="14860" max="14861" width="10.7109375" style="151" customWidth="1"/>
    <col min="14862" max="15104" width="9.140625" style="151"/>
    <col min="15105" max="15105" width="0" style="151" hidden="1" customWidth="1"/>
    <col min="15106" max="15106" width="7.140625" style="151" customWidth="1"/>
    <col min="15107" max="15107" width="13.42578125" style="151" customWidth="1"/>
    <col min="15108" max="15108" width="19.7109375" style="151" customWidth="1"/>
    <col min="15109" max="15109" width="26.85546875" style="151" customWidth="1"/>
    <col min="15110" max="15113" width="16.7109375" style="151" customWidth="1"/>
    <col min="15114" max="15114" width="17.85546875" style="151" customWidth="1"/>
    <col min="15115" max="15115" width="12.85546875" style="151" customWidth="1"/>
    <col min="15116" max="15117" width="10.7109375" style="151" customWidth="1"/>
    <col min="15118" max="15360" width="9.140625" style="151"/>
    <col min="15361" max="15361" width="0" style="151" hidden="1" customWidth="1"/>
    <col min="15362" max="15362" width="7.140625" style="151" customWidth="1"/>
    <col min="15363" max="15363" width="13.42578125" style="151" customWidth="1"/>
    <col min="15364" max="15364" width="19.7109375" style="151" customWidth="1"/>
    <col min="15365" max="15365" width="26.85546875" style="151" customWidth="1"/>
    <col min="15366" max="15369" width="16.7109375" style="151" customWidth="1"/>
    <col min="15370" max="15370" width="17.85546875" style="151" customWidth="1"/>
    <col min="15371" max="15371" width="12.85546875" style="151" customWidth="1"/>
    <col min="15372" max="15373" width="10.7109375" style="151" customWidth="1"/>
    <col min="15374" max="15616" width="9.140625" style="151"/>
    <col min="15617" max="15617" width="0" style="151" hidden="1" customWidth="1"/>
    <col min="15618" max="15618" width="7.140625" style="151" customWidth="1"/>
    <col min="15619" max="15619" width="13.42578125" style="151" customWidth="1"/>
    <col min="15620" max="15620" width="19.7109375" style="151" customWidth="1"/>
    <col min="15621" max="15621" width="26.85546875" style="151" customWidth="1"/>
    <col min="15622" max="15625" width="16.7109375" style="151" customWidth="1"/>
    <col min="15626" max="15626" width="17.85546875" style="151" customWidth="1"/>
    <col min="15627" max="15627" width="12.85546875" style="151" customWidth="1"/>
    <col min="15628" max="15629" width="10.7109375" style="151" customWidth="1"/>
    <col min="15630" max="15872" width="9.140625" style="151"/>
    <col min="15873" max="15873" width="0" style="151" hidden="1" customWidth="1"/>
    <col min="15874" max="15874" width="7.140625" style="151" customWidth="1"/>
    <col min="15875" max="15875" width="13.42578125" style="151" customWidth="1"/>
    <col min="15876" max="15876" width="19.7109375" style="151" customWidth="1"/>
    <col min="15877" max="15877" width="26.85546875" style="151" customWidth="1"/>
    <col min="15878" max="15881" width="16.7109375" style="151" customWidth="1"/>
    <col min="15882" max="15882" width="17.85546875" style="151" customWidth="1"/>
    <col min="15883" max="15883" width="12.85546875" style="151" customWidth="1"/>
    <col min="15884" max="15885" width="10.7109375" style="151" customWidth="1"/>
    <col min="15886" max="16128" width="9.140625" style="151"/>
    <col min="16129" max="16129" width="0" style="151" hidden="1" customWidth="1"/>
    <col min="16130" max="16130" width="7.140625" style="151" customWidth="1"/>
    <col min="16131" max="16131" width="13.42578125" style="151" customWidth="1"/>
    <col min="16132" max="16132" width="19.7109375" style="151" customWidth="1"/>
    <col min="16133" max="16133" width="26.85546875" style="151" customWidth="1"/>
    <col min="16134" max="16137" width="16.7109375" style="151" customWidth="1"/>
    <col min="16138" max="16138" width="17.85546875" style="151" customWidth="1"/>
    <col min="16139" max="16139" width="12.85546875" style="151" customWidth="1"/>
    <col min="16140" max="16141" width="10.7109375" style="151" customWidth="1"/>
    <col min="16142" max="16384" width="9.140625" style="151"/>
  </cols>
  <sheetData>
    <row r="1" spans="2:26" ht="12" customHeight="1"/>
    <row r="2" spans="2:26" ht="17.25" customHeight="1">
      <c r="B2" s="153" t="s">
        <v>838</v>
      </c>
      <c r="C2" s="154"/>
      <c r="D2" s="154"/>
      <c r="E2" s="154"/>
      <c r="F2" s="154"/>
      <c r="G2" s="154"/>
      <c r="H2" s="154"/>
      <c r="I2" s="154"/>
    </row>
    <row r="3" spans="2:26" ht="12.75" customHeight="1">
      <c r="B3" s="155" t="s">
        <v>737</v>
      </c>
      <c r="C3" s="156"/>
      <c r="D3" s="156"/>
      <c r="E3" s="156"/>
      <c r="F3" s="156"/>
      <c r="G3" s="156"/>
      <c r="H3" s="156"/>
      <c r="I3" s="156"/>
      <c r="K3" s="157"/>
      <c r="P3" s="158"/>
    </row>
    <row r="4" spans="2:26" ht="12.75" customHeight="1">
      <c r="K4" s="157"/>
      <c r="S4" s="158"/>
    </row>
    <row r="5" spans="2:26" ht="39" customHeight="1">
      <c r="C5" s="159" t="s">
        <v>0</v>
      </c>
      <c r="D5" s="160" t="s">
        <v>730</v>
      </c>
      <c r="E5" s="161"/>
      <c r="F5" s="161"/>
      <c r="G5" s="161"/>
      <c r="H5" s="162"/>
      <c r="I5" s="163"/>
      <c r="J5" s="164"/>
      <c r="K5" s="165"/>
      <c r="M5" s="166"/>
      <c r="Q5" s="158"/>
      <c r="U5" s="167"/>
    </row>
    <row r="6" spans="2:26" ht="13.5" customHeight="1">
      <c r="C6" s="168"/>
      <c r="D6" s="169"/>
      <c r="E6" s="170"/>
      <c r="F6" s="170"/>
      <c r="G6" s="170"/>
      <c r="H6" s="171"/>
      <c r="I6" s="163"/>
      <c r="J6" s="164"/>
      <c r="K6" s="165"/>
      <c r="M6" s="166"/>
      <c r="T6" s="172"/>
      <c r="U6" s="158"/>
    </row>
    <row r="7" spans="2:26" ht="15">
      <c r="C7" s="173" t="s">
        <v>1</v>
      </c>
      <c r="D7" s="174" t="s">
        <v>2</v>
      </c>
      <c r="H7" s="175"/>
      <c r="K7" s="165"/>
      <c r="U7" s="158"/>
    </row>
    <row r="8" spans="2:26" ht="15">
      <c r="C8" s="176"/>
      <c r="D8" s="174"/>
      <c r="H8" s="175"/>
      <c r="J8" s="164"/>
      <c r="K8" s="165"/>
      <c r="U8" s="158"/>
      <c r="Z8" s="172"/>
    </row>
    <row r="9" spans="2:26">
      <c r="C9" s="173" t="s">
        <v>3</v>
      </c>
      <c r="D9" s="174" t="s">
        <v>4</v>
      </c>
      <c r="H9" s="175"/>
    </row>
    <row r="10" spans="2:26" ht="15">
      <c r="C10" s="171"/>
      <c r="D10" s="174"/>
      <c r="H10" s="175"/>
      <c r="J10" s="164"/>
      <c r="K10" s="165"/>
      <c r="P10" s="158"/>
      <c r="X10" s="171"/>
    </row>
    <row r="11" spans="2:26">
      <c r="C11" s="173" t="s">
        <v>5</v>
      </c>
      <c r="D11" s="174" t="s">
        <v>6</v>
      </c>
      <c r="H11" s="175"/>
    </row>
    <row r="12" spans="2:26" ht="15">
      <c r="C12" s="173"/>
      <c r="D12" s="174"/>
      <c r="H12" s="175"/>
      <c r="J12" s="164"/>
      <c r="R12" s="158"/>
    </row>
    <row r="13" spans="2:26" ht="24.75" customHeight="1">
      <c r="C13" s="173" t="s">
        <v>316</v>
      </c>
      <c r="D13" s="174"/>
      <c r="G13" s="151"/>
      <c r="H13" s="175"/>
      <c r="I13" s="151"/>
    </row>
    <row r="14" spans="2:26" ht="12.75" customHeight="1">
      <c r="C14" s="173"/>
      <c r="D14" s="174"/>
      <c r="G14" s="151"/>
      <c r="H14" s="175"/>
      <c r="I14" s="151"/>
      <c r="J14" s="165"/>
    </row>
    <row r="15" spans="2:26" ht="28.5" customHeight="1">
      <c r="C15" s="177" t="s">
        <v>317</v>
      </c>
      <c r="D15" s="178"/>
      <c r="E15" s="179" t="s">
        <v>318</v>
      </c>
      <c r="F15" s="180"/>
      <c r="G15" s="151"/>
      <c r="H15" s="181" t="s">
        <v>7</v>
      </c>
      <c r="I15" s="151"/>
      <c r="J15" s="165"/>
    </row>
    <row r="16" spans="2:26" ht="28.5" customHeight="1">
      <c r="G16" s="151"/>
      <c r="I16" s="151"/>
      <c r="K16" s="171"/>
    </row>
    <row r="17" spans="2:11" ht="28.5" customHeight="1">
      <c r="C17" s="177" t="s">
        <v>8</v>
      </c>
      <c r="D17" s="178"/>
      <c r="E17" s="151" t="s">
        <v>319</v>
      </c>
      <c r="G17" s="151"/>
      <c r="H17" s="181" t="s">
        <v>320</v>
      </c>
      <c r="I17" s="151"/>
    </row>
    <row r="18" spans="2:11" ht="28.5" customHeight="1">
      <c r="G18" s="151"/>
      <c r="I18" s="151"/>
    </row>
    <row r="19" spans="2:11" ht="13.5" customHeight="1">
      <c r="B19" s="182"/>
      <c r="C19" s="183"/>
      <c r="D19" s="183"/>
      <c r="E19" s="184"/>
      <c r="F19" s="185"/>
      <c r="G19" s="186"/>
      <c r="H19" s="187"/>
      <c r="I19" s="188" t="s">
        <v>9</v>
      </c>
    </row>
    <row r="20" spans="2:11" ht="15" customHeight="1">
      <c r="B20" s="189" t="s">
        <v>10</v>
      </c>
      <c r="C20" s="190"/>
      <c r="D20" s="191">
        <v>15</v>
      </c>
      <c r="E20" s="192" t="s">
        <v>11</v>
      </c>
      <c r="F20" s="193"/>
      <c r="G20" s="194"/>
      <c r="H20" s="194"/>
      <c r="I20" s="195">
        <f>G44</f>
        <v>0</v>
      </c>
    </row>
    <row r="21" spans="2:11">
      <c r="B21" s="189" t="s">
        <v>12</v>
      </c>
      <c r="C21" s="190"/>
      <c r="D21" s="191">
        <v>15</v>
      </c>
      <c r="E21" s="192" t="s">
        <v>11</v>
      </c>
      <c r="F21" s="196"/>
      <c r="G21" s="197"/>
      <c r="H21" s="197"/>
      <c r="I21" s="198">
        <f>I44</f>
        <v>0</v>
      </c>
    </row>
    <row r="22" spans="2:11">
      <c r="B22" s="189" t="s">
        <v>10</v>
      </c>
      <c r="C22" s="190"/>
      <c r="D22" s="191">
        <v>21</v>
      </c>
      <c r="E22" s="192" t="s">
        <v>11</v>
      </c>
      <c r="F22" s="196"/>
      <c r="G22" s="197"/>
      <c r="H22" s="197"/>
      <c r="I22" s="198"/>
    </row>
    <row r="23" spans="2:11" ht="13.5" thickBot="1">
      <c r="B23" s="189" t="s">
        <v>12</v>
      </c>
      <c r="C23" s="190"/>
      <c r="D23" s="191">
        <v>21</v>
      </c>
      <c r="E23" s="192" t="s">
        <v>11</v>
      </c>
      <c r="F23" s="199"/>
      <c r="G23" s="200"/>
      <c r="H23" s="200"/>
      <c r="I23" s="201"/>
    </row>
    <row r="24" spans="2:11" ht="16.5" thickBot="1">
      <c r="B24" s="202" t="s">
        <v>13</v>
      </c>
      <c r="C24" s="203"/>
      <c r="D24" s="203"/>
      <c r="E24" s="204"/>
      <c r="F24" s="205"/>
      <c r="G24" s="206"/>
      <c r="H24" s="206"/>
      <c r="I24" s="207">
        <f>SUM(I20:I23)</f>
        <v>0</v>
      </c>
      <c r="J24" s="174"/>
    </row>
    <row r="27" spans="2:11" ht="1.5" customHeight="1"/>
    <row r="28" spans="2:11" ht="15.75" customHeight="1">
      <c r="B28" s="159" t="s">
        <v>14</v>
      </c>
      <c r="C28" s="208"/>
      <c r="D28" s="208"/>
      <c r="E28" s="208"/>
      <c r="F28" s="208"/>
      <c r="G28" s="208"/>
      <c r="H28" s="208"/>
      <c r="I28" s="208"/>
      <c r="J28" s="209"/>
    </row>
    <row r="29" spans="2:11" ht="5.25" customHeight="1">
      <c r="J29" s="209"/>
    </row>
    <row r="30" spans="2:11" ht="24" customHeight="1">
      <c r="B30" s="210" t="s">
        <v>15</v>
      </c>
      <c r="C30" s="211"/>
      <c r="D30" s="211"/>
      <c r="E30" s="212"/>
      <c r="F30" s="213" t="s">
        <v>16</v>
      </c>
      <c r="G30" s="214" t="str">
        <f>CONCATENATE("Základ DPH ",SazbaDPH1," %")</f>
        <v>Základ DPH 15 %</v>
      </c>
      <c r="H30" s="213" t="str">
        <f>CONCATENATE("Základ DPH ",SazbaDPH2," %")</f>
        <v>Základ DPH 21 %</v>
      </c>
      <c r="I30" s="213" t="s">
        <v>17</v>
      </c>
      <c r="J30" s="215"/>
      <c r="K30" s="216"/>
    </row>
    <row r="31" spans="2:11">
      <c r="B31" s="217" t="s">
        <v>18</v>
      </c>
      <c r="C31" s="218"/>
      <c r="D31" s="219"/>
      <c r="E31" s="220"/>
      <c r="F31" s="221"/>
      <c r="G31" s="222"/>
      <c r="H31" s="222"/>
      <c r="I31" s="223"/>
      <c r="J31" s="224"/>
      <c r="K31" s="171"/>
    </row>
    <row r="32" spans="2:11" ht="12.75" customHeight="1">
      <c r="B32" s="225"/>
      <c r="C32" s="226" t="s">
        <v>19</v>
      </c>
      <c r="D32" s="227"/>
      <c r="E32" s="228"/>
      <c r="F32" s="229">
        <f t="shared" ref="F32:F43" si="0">G32+I32</f>
        <v>0</v>
      </c>
      <c r="G32" s="230">
        <f>VRN!G37</f>
        <v>0</v>
      </c>
      <c r="H32" s="229"/>
      <c r="I32" s="231">
        <f t="shared" ref="I32:I43" si="1">(G32*SazbaDPH1)/100+(H32*SazbaDPH2)/100</f>
        <v>0</v>
      </c>
      <c r="J32" s="232"/>
      <c r="K32" s="157"/>
    </row>
    <row r="33" spans="2:11" ht="12.75" customHeight="1">
      <c r="B33" s="233"/>
      <c r="C33" s="234" t="s">
        <v>321</v>
      </c>
      <c r="D33" s="235"/>
      <c r="E33" s="236"/>
      <c r="F33" s="230">
        <f>SUM(F34:F37)</f>
        <v>0</v>
      </c>
      <c r="G33" s="230">
        <f>SUM(G34:G37)</f>
        <v>0</v>
      </c>
      <c r="H33" s="230"/>
      <c r="I33" s="237">
        <f>SUM(I34:I37)</f>
        <v>0</v>
      </c>
      <c r="J33" s="238"/>
    </row>
    <row r="34" spans="2:11" ht="12.75" customHeight="1">
      <c r="B34" s="233"/>
      <c r="C34" s="239" t="s">
        <v>323</v>
      </c>
      <c r="D34" s="240"/>
      <c r="E34" s="241"/>
      <c r="F34" s="242">
        <f t="shared" ref="F34:F37" si="2">G34+I34</f>
        <v>0</v>
      </c>
      <c r="G34" s="242">
        <f>'1 - GARÁŽ - BP'!H62</f>
        <v>0</v>
      </c>
      <c r="H34" s="242"/>
      <c r="I34" s="243">
        <f t="shared" ref="I34" si="3">(G34*SazbaDPH1)/100+(H34*SazbaDPH2)/100</f>
        <v>0</v>
      </c>
      <c r="J34" s="238"/>
      <c r="K34" s="238"/>
    </row>
    <row r="35" spans="2:11" ht="12.75" customHeight="1">
      <c r="B35" s="233"/>
      <c r="C35" s="239" t="s">
        <v>324</v>
      </c>
      <c r="D35" s="240"/>
      <c r="E35" s="241"/>
      <c r="F35" s="242">
        <f t="shared" si="2"/>
        <v>0</v>
      </c>
      <c r="G35" s="242">
        <f>'1 - ODPOJENÍ OD VODOVODU'!H94</f>
        <v>0</v>
      </c>
      <c r="H35" s="242"/>
      <c r="I35" s="243">
        <f t="shared" ref="I35:I37" si="4">(G35*SazbaDPH1)/100+(H35*SazbaDPH2)/100</f>
        <v>0</v>
      </c>
      <c r="J35" s="238"/>
      <c r="K35" s="244"/>
    </row>
    <row r="36" spans="2:11" ht="12.75" customHeight="1">
      <c r="B36" s="233"/>
      <c r="C36" s="239" t="s">
        <v>325</v>
      </c>
      <c r="D36" s="240"/>
      <c r="E36" s="241"/>
      <c r="F36" s="242">
        <f t="shared" si="2"/>
        <v>0</v>
      </c>
      <c r="G36" s="242">
        <f>'1 - ODPOJENÍ OD KANALIZACE'!H145</f>
        <v>0</v>
      </c>
      <c r="H36" s="242"/>
      <c r="I36" s="243">
        <f t="shared" si="4"/>
        <v>0</v>
      </c>
      <c r="J36" s="238"/>
    </row>
    <row r="37" spans="2:11" ht="12.75" customHeight="1">
      <c r="B37" s="233"/>
      <c r="C37" s="239" t="s">
        <v>326</v>
      </c>
      <c r="D37" s="240"/>
      <c r="E37" s="241"/>
      <c r="F37" s="242">
        <f t="shared" si="2"/>
        <v>0</v>
      </c>
      <c r="G37" s="242">
        <f>'1 - ODPOJENÍ OD SILOVÉHO VEDENÍ'!H120</f>
        <v>0</v>
      </c>
      <c r="H37" s="242"/>
      <c r="I37" s="243">
        <f t="shared" si="4"/>
        <v>0</v>
      </c>
      <c r="J37" s="238"/>
      <c r="K37" s="171"/>
    </row>
    <row r="38" spans="2:11" ht="12.75" customHeight="1">
      <c r="B38" s="233"/>
      <c r="C38" s="234" t="s">
        <v>322</v>
      </c>
      <c r="D38" s="235"/>
      <c r="E38" s="236"/>
      <c r="F38" s="230">
        <f>SUM(F39:F40)</f>
        <v>0</v>
      </c>
      <c r="G38" s="230">
        <f>SUM(G39:G40)</f>
        <v>0</v>
      </c>
      <c r="H38" s="230"/>
      <c r="I38" s="230">
        <f>SUM(I39:I40)</f>
        <v>0</v>
      </c>
    </row>
    <row r="39" spans="2:11" ht="12.75" customHeight="1">
      <c r="B39" s="233"/>
      <c r="C39" s="239" t="s">
        <v>329</v>
      </c>
      <c r="D39" s="240"/>
      <c r="E39" s="241"/>
      <c r="F39" s="242">
        <f t="shared" ref="F39:F40" si="5">G39+I39</f>
        <v>0</v>
      </c>
      <c r="G39" s="242">
        <f>'2_a - DÍLNA'!H75</f>
        <v>0</v>
      </c>
      <c r="H39" s="242"/>
      <c r="I39" s="243">
        <f t="shared" ref="I39:I40" si="6">(G39*SazbaDPH1)/100+(H39*SazbaDPH2)/100</f>
        <v>0</v>
      </c>
      <c r="J39" s="238"/>
    </row>
    <row r="40" spans="2:11" ht="12.75" customHeight="1">
      <c r="B40" s="233"/>
      <c r="C40" s="239" t="s">
        <v>330</v>
      </c>
      <c r="D40" s="240"/>
      <c r="E40" s="241"/>
      <c r="F40" s="242">
        <f t="shared" si="5"/>
        <v>0</v>
      </c>
      <c r="G40" s="242">
        <f>'2 - ODPOJENÍ OD SILOVÉHO VEDENÍ'!H210</f>
        <v>0</v>
      </c>
      <c r="H40" s="242"/>
      <c r="I40" s="243">
        <f t="shared" si="6"/>
        <v>0</v>
      </c>
      <c r="J40" s="238"/>
    </row>
    <row r="41" spans="2:11" ht="12.75" customHeight="1">
      <c r="B41" s="233"/>
      <c r="C41" s="234" t="s">
        <v>327</v>
      </c>
      <c r="D41" s="235"/>
      <c r="E41" s="236"/>
      <c r="F41" s="230">
        <f>SUM(F42:F42)</f>
        <v>0</v>
      </c>
      <c r="G41" s="230">
        <f>SUM(G42:G42)</f>
        <v>0</v>
      </c>
      <c r="H41" s="230"/>
      <c r="I41" s="230">
        <f>SUM(I42:I42)</f>
        <v>0</v>
      </c>
    </row>
    <row r="42" spans="2:11" ht="12.75" customHeight="1">
      <c r="B42" s="233"/>
      <c r="C42" s="239" t="s">
        <v>331</v>
      </c>
      <c r="D42" s="240"/>
      <c r="E42" s="241"/>
      <c r="F42" s="242">
        <f t="shared" ref="F42" si="7">G42+I42</f>
        <v>0</v>
      </c>
      <c r="G42" s="242">
        <f>'2_b - SKLENÍK'!H57</f>
        <v>0</v>
      </c>
      <c r="H42" s="242"/>
      <c r="I42" s="243">
        <f t="shared" ref="I42" si="8">(G42*SazbaDPH1)/100+(H42*SazbaDPH2)/100</f>
        <v>0</v>
      </c>
      <c r="J42" s="245"/>
    </row>
    <row r="43" spans="2:11" ht="12.75" customHeight="1">
      <c r="B43" s="233"/>
      <c r="C43" s="234" t="s">
        <v>20</v>
      </c>
      <c r="D43" s="235"/>
      <c r="E43" s="236"/>
      <c r="F43" s="230">
        <f t="shared" si="0"/>
        <v>0</v>
      </c>
      <c r="G43" s="230">
        <f>'ZPEVNĚNÉ PLOCHY + SADOVKY'!H166</f>
        <v>0</v>
      </c>
      <c r="H43" s="230"/>
      <c r="I43" s="237">
        <f t="shared" si="1"/>
        <v>0</v>
      </c>
    </row>
    <row r="44" spans="2:11" ht="17.25" customHeight="1">
      <c r="B44" s="246" t="s">
        <v>21</v>
      </c>
      <c r="C44" s="247"/>
      <c r="D44" s="248"/>
      <c r="E44" s="249"/>
      <c r="F44" s="250">
        <f>F43+F41+F38+F33+F32</f>
        <v>0</v>
      </c>
      <c r="G44" s="250">
        <f>G43+G41+G38+G33+G32</f>
        <v>0</v>
      </c>
      <c r="H44" s="250"/>
      <c r="I44" s="250">
        <f>I43+I41+I38+I33+I32</f>
        <v>0</v>
      </c>
      <c r="J44" s="238"/>
      <c r="K44" s="251"/>
    </row>
    <row r="46" spans="2:11" ht="2.25" customHeight="1"/>
    <row r="47" spans="2:11" ht="1.5" customHeight="1"/>
    <row r="48" spans="2:11" ht="0.75" customHeight="1"/>
    <row r="49" spans="1:14" ht="0.75" customHeight="1"/>
    <row r="50" spans="1:14" ht="0.75" customHeight="1"/>
    <row r="51" spans="1:14" ht="18">
      <c r="B51" s="159" t="s">
        <v>22</v>
      </c>
      <c r="C51" s="208"/>
      <c r="D51" s="208"/>
      <c r="E51" s="208"/>
      <c r="F51" s="208"/>
      <c r="G51" s="208"/>
      <c r="H51" s="252"/>
      <c r="I51" s="208"/>
      <c r="J51" s="238"/>
    </row>
    <row r="52" spans="1:14" ht="12.75" customHeight="1">
      <c r="B52" s="159"/>
      <c r="C52" s="208"/>
      <c r="D52" s="208"/>
      <c r="E52" s="208"/>
      <c r="F52" s="208"/>
      <c r="G52" s="208"/>
      <c r="H52" s="208"/>
      <c r="I52" s="208"/>
    </row>
    <row r="53" spans="1:14" s="255" customFormat="1" ht="19.5" customHeight="1">
      <c r="A53" s="253" t="s">
        <v>23</v>
      </c>
      <c r="B53" s="254"/>
      <c r="C53" s="254"/>
      <c r="D53" s="254"/>
      <c r="E53" s="254"/>
      <c r="F53" s="254"/>
      <c r="G53" s="254"/>
      <c r="H53" s="254"/>
      <c r="I53" s="254"/>
    </row>
    <row r="54" spans="1:14" s="260" customFormat="1" ht="28.5" customHeight="1">
      <c r="A54" s="256" t="s">
        <v>311</v>
      </c>
      <c r="B54" s="257"/>
      <c r="C54" s="257"/>
      <c r="D54" s="257"/>
      <c r="E54" s="257"/>
      <c r="F54" s="257"/>
      <c r="G54" s="257"/>
      <c r="H54" s="258"/>
      <c r="I54" s="258"/>
      <c r="J54" s="259"/>
      <c r="L54" s="261"/>
      <c r="N54" s="262"/>
    </row>
    <row r="55" spans="1:14" s="266" customFormat="1" ht="27" customHeight="1">
      <c r="A55" s="263"/>
      <c r="B55" s="264" t="s">
        <v>315</v>
      </c>
      <c r="C55" s="265"/>
      <c r="D55" s="265"/>
      <c r="E55" s="265"/>
      <c r="F55" s="265"/>
      <c r="G55" s="265"/>
      <c r="H55" s="265"/>
      <c r="I55" s="265"/>
    </row>
    <row r="56" spans="1:14" s="260" customFormat="1" ht="26.25" customHeight="1">
      <c r="A56" s="267" t="s">
        <v>24</v>
      </c>
      <c r="B56" s="268"/>
      <c r="C56" s="268"/>
      <c r="D56" s="268"/>
      <c r="E56" s="268"/>
      <c r="F56" s="268"/>
      <c r="G56" s="268"/>
      <c r="H56" s="258"/>
      <c r="I56" s="258"/>
      <c r="J56" s="259"/>
      <c r="L56" s="261"/>
      <c r="N56" s="262"/>
    </row>
    <row r="57" spans="1:14" s="260" customFormat="1" ht="24.6" customHeight="1">
      <c r="A57" s="269" t="s">
        <v>310</v>
      </c>
      <c r="B57" s="257"/>
      <c r="C57" s="257"/>
      <c r="D57" s="257"/>
      <c r="E57" s="257"/>
      <c r="F57" s="257"/>
      <c r="G57" s="257"/>
      <c r="H57" s="258"/>
      <c r="I57" s="258"/>
      <c r="J57" s="259"/>
      <c r="L57" s="270"/>
    </row>
    <row r="60" spans="1:14">
      <c r="D60" s="271"/>
    </row>
    <row r="63" spans="1:14">
      <c r="E63" s="271"/>
    </row>
  </sheetData>
  <sheetProtection algorithmName="SHA-512" hashValue="UVGMF0iCg7Ofeigi7EQPC0X3IgH5KK+SXcOPoKxrq5ebXMxbUc/FCRODSyLBjfSJ1rmr9k0w23ksBmE10rDmKA==" saltValue="o7kdqOD7bOmtllbM8S9r9w==" spinCount="100000" sheet="1" objects="1" scenarios="1"/>
  <mergeCells count="16">
    <mergeCell ref="C38:E38"/>
    <mergeCell ref="B2:I2"/>
    <mergeCell ref="B3:I3"/>
    <mergeCell ref="D5:H5"/>
    <mergeCell ref="C32:E32"/>
    <mergeCell ref="C33:E33"/>
    <mergeCell ref="C15:D15"/>
    <mergeCell ref="E15:F15"/>
    <mergeCell ref="C17:D17"/>
    <mergeCell ref="C41:E41"/>
    <mergeCell ref="A56:I56"/>
    <mergeCell ref="A57:I57"/>
    <mergeCell ref="C43:E43"/>
    <mergeCell ref="A53:I53"/>
    <mergeCell ref="A54:I54"/>
    <mergeCell ref="B55:I55"/>
  </mergeCells>
  <printOptions horizontalCentered="1"/>
  <pageMargins left="0.39370078740157483" right="0.39370078740157483" top="0.59055118110236227" bottom="0.19685039370078741" header="0" footer="0"/>
  <pageSetup paperSize="9" scale="71" fitToHeight="9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4B7E9-D4B8-4B2E-AA1D-F57EE08093CB}">
  <sheetPr>
    <pageSetUpPr fitToPage="1"/>
  </sheetPr>
  <dimension ref="A1:IV173"/>
  <sheetViews>
    <sheetView zoomScaleNormal="100" workbookViewId="0"/>
  </sheetViews>
  <sheetFormatPr defaultColWidth="9" defaultRowHeight="12" customHeight="1"/>
  <cols>
    <col min="1" max="1" width="4.140625" style="52" customWidth="1"/>
    <col min="2" max="2" width="4.28515625" style="53" customWidth="1"/>
    <col min="3" max="3" width="13.5703125" style="53" customWidth="1"/>
    <col min="4" max="4" width="65" style="53" customWidth="1"/>
    <col min="5" max="5" width="6.7109375" style="53" customWidth="1"/>
    <col min="6" max="6" width="8.42578125" style="54" customWidth="1"/>
    <col min="7" max="7" width="10" style="55" customWidth="1"/>
    <col min="8" max="8" width="15.7109375" style="55" customWidth="1"/>
    <col min="9" max="10" width="17.5703125" style="56" customWidth="1"/>
    <col min="11" max="12" width="9" style="56"/>
    <col min="13" max="14" width="12.7109375" style="56" customWidth="1"/>
    <col min="15" max="15" width="10.85546875" style="56" customWidth="1"/>
    <col min="16" max="16" width="17.28515625" style="56" customWidth="1"/>
    <col min="17" max="17" width="15" style="56" customWidth="1"/>
    <col min="18" max="18" width="12.28515625" style="56" customWidth="1"/>
    <col min="19" max="19" width="13.85546875" style="56" customWidth="1"/>
    <col min="20" max="150" width="9" style="56"/>
    <col min="151" max="256" width="9" style="1207"/>
    <col min="257" max="257" width="4.140625" style="1207" customWidth="1"/>
    <col min="258" max="258" width="4.28515625" style="1207" customWidth="1"/>
    <col min="259" max="259" width="13.5703125" style="1207" customWidth="1"/>
    <col min="260" max="260" width="65" style="1207" customWidth="1"/>
    <col min="261" max="261" width="6.7109375" style="1207" customWidth="1"/>
    <col min="262" max="262" width="8.42578125" style="1207" customWidth="1"/>
    <col min="263" max="263" width="10" style="1207" customWidth="1"/>
    <col min="264" max="264" width="15.7109375" style="1207" customWidth="1"/>
    <col min="265" max="265" width="17.5703125" style="1207" customWidth="1"/>
    <col min="266" max="266" width="12.42578125" style="1207" customWidth="1"/>
    <col min="267" max="268" width="9" style="1207"/>
    <col min="269" max="270" width="12.7109375" style="1207" customWidth="1"/>
    <col min="271" max="271" width="10.85546875" style="1207" customWidth="1"/>
    <col min="272" max="272" width="17.28515625" style="1207" customWidth="1"/>
    <col min="273" max="273" width="15" style="1207" customWidth="1"/>
    <col min="274" max="274" width="12.28515625" style="1207" customWidth="1"/>
    <col min="275" max="275" width="13.85546875" style="1207" customWidth="1"/>
    <col min="276" max="512" width="9" style="1207"/>
    <col min="513" max="513" width="4.140625" style="1207" customWidth="1"/>
    <col min="514" max="514" width="4.28515625" style="1207" customWidth="1"/>
    <col min="515" max="515" width="13.5703125" style="1207" customWidth="1"/>
    <col min="516" max="516" width="65" style="1207" customWidth="1"/>
    <col min="517" max="517" width="6.7109375" style="1207" customWidth="1"/>
    <col min="518" max="518" width="8.42578125" style="1207" customWidth="1"/>
    <col min="519" max="519" width="10" style="1207" customWidth="1"/>
    <col min="520" max="520" width="15.7109375" style="1207" customWidth="1"/>
    <col min="521" max="521" width="17.5703125" style="1207" customWidth="1"/>
    <col min="522" max="522" width="12.42578125" style="1207" customWidth="1"/>
    <col min="523" max="524" width="9" style="1207"/>
    <col min="525" max="526" width="12.7109375" style="1207" customWidth="1"/>
    <col min="527" max="527" width="10.85546875" style="1207" customWidth="1"/>
    <col min="528" max="528" width="17.28515625" style="1207" customWidth="1"/>
    <col min="529" max="529" width="15" style="1207" customWidth="1"/>
    <col min="530" max="530" width="12.28515625" style="1207" customWidth="1"/>
    <col min="531" max="531" width="13.85546875" style="1207" customWidth="1"/>
    <col min="532" max="768" width="9" style="1207"/>
    <col min="769" max="769" width="4.140625" style="1207" customWidth="1"/>
    <col min="770" max="770" width="4.28515625" style="1207" customWidth="1"/>
    <col min="771" max="771" width="13.5703125" style="1207" customWidth="1"/>
    <col min="772" max="772" width="65" style="1207" customWidth="1"/>
    <col min="773" max="773" width="6.7109375" style="1207" customWidth="1"/>
    <col min="774" max="774" width="8.42578125" style="1207" customWidth="1"/>
    <col min="775" max="775" width="10" style="1207" customWidth="1"/>
    <col min="776" max="776" width="15.7109375" style="1207" customWidth="1"/>
    <col min="777" max="777" width="17.5703125" style="1207" customWidth="1"/>
    <col min="778" max="778" width="12.42578125" style="1207" customWidth="1"/>
    <col min="779" max="780" width="9" style="1207"/>
    <col min="781" max="782" width="12.7109375" style="1207" customWidth="1"/>
    <col min="783" max="783" width="10.85546875" style="1207" customWidth="1"/>
    <col min="784" max="784" width="17.28515625" style="1207" customWidth="1"/>
    <col min="785" max="785" width="15" style="1207" customWidth="1"/>
    <col min="786" max="786" width="12.28515625" style="1207" customWidth="1"/>
    <col min="787" max="787" width="13.85546875" style="1207" customWidth="1"/>
    <col min="788" max="1024" width="9" style="1207"/>
    <col min="1025" max="1025" width="4.140625" style="1207" customWidth="1"/>
    <col min="1026" max="1026" width="4.28515625" style="1207" customWidth="1"/>
    <col min="1027" max="1027" width="13.5703125" style="1207" customWidth="1"/>
    <col min="1028" max="1028" width="65" style="1207" customWidth="1"/>
    <col min="1029" max="1029" width="6.7109375" style="1207" customWidth="1"/>
    <col min="1030" max="1030" width="8.42578125" style="1207" customWidth="1"/>
    <col min="1031" max="1031" width="10" style="1207" customWidth="1"/>
    <col min="1032" max="1032" width="15.7109375" style="1207" customWidth="1"/>
    <col min="1033" max="1033" width="17.5703125" style="1207" customWidth="1"/>
    <col min="1034" max="1034" width="12.42578125" style="1207" customWidth="1"/>
    <col min="1035" max="1036" width="9" style="1207"/>
    <col min="1037" max="1038" width="12.7109375" style="1207" customWidth="1"/>
    <col min="1039" max="1039" width="10.85546875" style="1207" customWidth="1"/>
    <col min="1040" max="1040" width="17.28515625" style="1207" customWidth="1"/>
    <col min="1041" max="1041" width="15" style="1207" customWidth="1"/>
    <col min="1042" max="1042" width="12.28515625" style="1207" customWidth="1"/>
    <col min="1043" max="1043" width="13.85546875" style="1207" customWidth="1"/>
    <col min="1044" max="1280" width="9" style="1207"/>
    <col min="1281" max="1281" width="4.140625" style="1207" customWidth="1"/>
    <col min="1282" max="1282" width="4.28515625" style="1207" customWidth="1"/>
    <col min="1283" max="1283" width="13.5703125" style="1207" customWidth="1"/>
    <col min="1284" max="1284" width="65" style="1207" customWidth="1"/>
    <col min="1285" max="1285" width="6.7109375" style="1207" customWidth="1"/>
    <col min="1286" max="1286" width="8.42578125" style="1207" customWidth="1"/>
    <col min="1287" max="1287" width="10" style="1207" customWidth="1"/>
    <col min="1288" max="1288" width="15.7109375" style="1207" customWidth="1"/>
    <col min="1289" max="1289" width="17.5703125" style="1207" customWidth="1"/>
    <col min="1290" max="1290" width="12.42578125" style="1207" customWidth="1"/>
    <col min="1291" max="1292" width="9" style="1207"/>
    <col min="1293" max="1294" width="12.7109375" style="1207" customWidth="1"/>
    <col min="1295" max="1295" width="10.85546875" style="1207" customWidth="1"/>
    <col min="1296" max="1296" width="17.28515625" style="1207" customWidth="1"/>
    <col min="1297" max="1297" width="15" style="1207" customWidth="1"/>
    <col min="1298" max="1298" width="12.28515625" style="1207" customWidth="1"/>
    <col min="1299" max="1299" width="13.85546875" style="1207" customWidth="1"/>
    <col min="1300" max="1536" width="9" style="1207"/>
    <col min="1537" max="1537" width="4.140625" style="1207" customWidth="1"/>
    <col min="1538" max="1538" width="4.28515625" style="1207" customWidth="1"/>
    <col min="1539" max="1539" width="13.5703125" style="1207" customWidth="1"/>
    <col min="1540" max="1540" width="65" style="1207" customWidth="1"/>
    <col min="1541" max="1541" width="6.7109375" style="1207" customWidth="1"/>
    <col min="1542" max="1542" width="8.42578125" style="1207" customWidth="1"/>
    <col min="1543" max="1543" width="10" style="1207" customWidth="1"/>
    <col min="1544" max="1544" width="15.7109375" style="1207" customWidth="1"/>
    <col min="1545" max="1545" width="17.5703125" style="1207" customWidth="1"/>
    <col min="1546" max="1546" width="12.42578125" style="1207" customWidth="1"/>
    <col min="1547" max="1548" width="9" style="1207"/>
    <col min="1549" max="1550" width="12.7109375" style="1207" customWidth="1"/>
    <col min="1551" max="1551" width="10.85546875" style="1207" customWidth="1"/>
    <col min="1552" max="1552" width="17.28515625" style="1207" customWidth="1"/>
    <col min="1553" max="1553" width="15" style="1207" customWidth="1"/>
    <col min="1554" max="1554" width="12.28515625" style="1207" customWidth="1"/>
    <col min="1555" max="1555" width="13.85546875" style="1207" customWidth="1"/>
    <col min="1556" max="1792" width="9" style="1207"/>
    <col min="1793" max="1793" width="4.140625" style="1207" customWidth="1"/>
    <col min="1794" max="1794" width="4.28515625" style="1207" customWidth="1"/>
    <col min="1795" max="1795" width="13.5703125" style="1207" customWidth="1"/>
    <col min="1796" max="1796" width="65" style="1207" customWidth="1"/>
    <col min="1797" max="1797" width="6.7109375" style="1207" customWidth="1"/>
    <col min="1798" max="1798" width="8.42578125" style="1207" customWidth="1"/>
    <col min="1799" max="1799" width="10" style="1207" customWidth="1"/>
    <col min="1800" max="1800" width="15.7109375" style="1207" customWidth="1"/>
    <col min="1801" max="1801" width="17.5703125" style="1207" customWidth="1"/>
    <col min="1802" max="1802" width="12.42578125" style="1207" customWidth="1"/>
    <col min="1803" max="1804" width="9" style="1207"/>
    <col min="1805" max="1806" width="12.7109375" style="1207" customWidth="1"/>
    <col min="1807" max="1807" width="10.85546875" style="1207" customWidth="1"/>
    <col min="1808" max="1808" width="17.28515625" style="1207" customWidth="1"/>
    <col min="1809" max="1809" width="15" style="1207" customWidth="1"/>
    <col min="1810" max="1810" width="12.28515625" style="1207" customWidth="1"/>
    <col min="1811" max="1811" width="13.85546875" style="1207" customWidth="1"/>
    <col min="1812" max="2048" width="9" style="1207"/>
    <col min="2049" max="2049" width="4.140625" style="1207" customWidth="1"/>
    <col min="2050" max="2050" width="4.28515625" style="1207" customWidth="1"/>
    <col min="2051" max="2051" width="13.5703125" style="1207" customWidth="1"/>
    <col min="2052" max="2052" width="65" style="1207" customWidth="1"/>
    <col min="2053" max="2053" width="6.7109375" style="1207" customWidth="1"/>
    <col min="2054" max="2054" width="8.42578125" style="1207" customWidth="1"/>
    <col min="2055" max="2055" width="10" style="1207" customWidth="1"/>
    <col min="2056" max="2056" width="15.7109375" style="1207" customWidth="1"/>
    <col min="2057" max="2057" width="17.5703125" style="1207" customWidth="1"/>
    <col min="2058" max="2058" width="12.42578125" style="1207" customWidth="1"/>
    <col min="2059" max="2060" width="9" style="1207"/>
    <col min="2061" max="2062" width="12.7109375" style="1207" customWidth="1"/>
    <col min="2063" max="2063" width="10.85546875" style="1207" customWidth="1"/>
    <col min="2064" max="2064" width="17.28515625" style="1207" customWidth="1"/>
    <col min="2065" max="2065" width="15" style="1207" customWidth="1"/>
    <col min="2066" max="2066" width="12.28515625" style="1207" customWidth="1"/>
    <col min="2067" max="2067" width="13.85546875" style="1207" customWidth="1"/>
    <col min="2068" max="2304" width="9" style="1207"/>
    <col min="2305" max="2305" width="4.140625" style="1207" customWidth="1"/>
    <col min="2306" max="2306" width="4.28515625" style="1207" customWidth="1"/>
    <col min="2307" max="2307" width="13.5703125" style="1207" customWidth="1"/>
    <col min="2308" max="2308" width="65" style="1207" customWidth="1"/>
    <col min="2309" max="2309" width="6.7109375" style="1207" customWidth="1"/>
    <col min="2310" max="2310" width="8.42578125" style="1207" customWidth="1"/>
    <col min="2311" max="2311" width="10" style="1207" customWidth="1"/>
    <col min="2312" max="2312" width="15.7109375" style="1207" customWidth="1"/>
    <col min="2313" max="2313" width="17.5703125" style="1207" customWidth="1"/>
    <col min="2314" max="2314" width="12.42578125" style="1207" customWidth="1"/>
    <col min="2315" max="2316" width="9" style="1207"/>
    <col min="2317" max="2318" width="12.7109375" style="1207" customWidth="1"/>
    <col min="2319" max="2319" width="10.85546875" style="1207" customWidth="1"/>
    <col min="2320" max="2320" width="17.28515625" style="1207" customWidth="1"/>
    <col min="2321" max="2321" width="15" style="1207" customWidth="1"/>
    <col min="2322" max="2322" width="12.28515625" style="1207" customWidth="1"/>
    <col min="2323" max="2323" width="13.85546875" style="1207" customWidth="1"/>
    <col min="2324" max="2560" width="9" style="1207"/>
    <col min="2561" max="2561" width="4.140625" style="1207" customWidth="1"/>
    <col min="2562" max="2562" width="4.28515625" style="1207" customWidth="1"/>
    <col min="2563" max="2563" width="13.5703125" style="1207" customWidth="1"/>
    <col min="2564" max="2564" width="65" style="1207" customWidth="1"/>
    <col min="2565" max="2565" width="6.7109375" style="1207" customWidth="1"/>
    <col min="2566" max="2566" width="8.42578125" style="1207" customWidth="1"/>
    <col min="2567" max="2567" width="10" style="1207" customWidth="1"/>
    <col min="2568" max="2568" width="15.7109375" style="1207" customWidth="1"/>
    <col min="2569" max="2569" width="17.5703125" style="1207" customWidth="1"/>
    <col min="2570" max="2570" width="12.42578125" style="1207" customWidth="1"/>
    <col min="2571" max="2572" width="9" style="1207"/>
    <col min="2573" max="2574" width="12.7109375" style="1207" customWidth="1"/>
    <col min="2575" max="2575" width="10.85546875" style="1207" customWidth="1"/>
    <col min="2576" max="2576" width="17.28515625" style="1207" customWidth="1"/>
    <col min="2577" max="2577" width="15" style="1207" customWidth="1"/>
    <col min="2578" max="2578" width="12.28515625" style="1207" customWidth="1"/>
    <col min="2579" max="2579" width="13.85546875" style="1207" customWidth="1"/>
    <col min="2580" max="2816" width="9" style="1207"/>
    <col min="2817" max="2817" width="4.140625" style="1207" customWidth="1"/>
    <col min="2818" max="2818" width="4.28515625" style="1207" customWidth="1"/>
    <col min="2819" max="2819" width="13.5703125" style="1207" customWidth="1"/>
    <col min="2820" max="2820" width="65" style="1207" customWidth="1"/>
    <col min="2821" max="2821" width="6.7109375" style="1207" customWidth="1"/>
    <col min="2822" max="2822" width="8.42578125" style="1207" customWidth="1"/>
    <col min="2823" max="2823" width="10" style="1207" customWidth="1"/>
    <col min="2824" max="2824" width="15.7109375" style="1207" customWidth="1"/>
    <col min="2825" max="2825" width="17.5703125" style="1207" customWidth="1"/>
    <col min="2826" max="2826" width="12.42578125" style="1207" customWidth="1"/>
    <col min="2827" max="2828" width="9" style="1207"/>
    <col min="2829" max="2830" width="12.7109375" style="1207" customWidth="1"/>
    <col min="2831" max="2831" width="10.85546875" style="1207" customWidth="1"/>
    <col min="2832" max="2832" width="17.28515625" style="1207" customWidth="1"/>
    <col min="2833" max="2833" width="15" style="1207" customWidth="1"/>
    <col min="2834" max="2834" width="12.28515625" style="1207" customWidth="1"/>
    <col min="2835" max="2835" width="13.85546875" style="1207" customWidth="1"/>
    <col min="2836" max="3072" width="9" style="1207"/>
    <col min="3073" max="3073" width="4.140625" style="1207" customWidth="1"/>
    <col min="3074" max="3074" width="4.28515625" style="1207" customWidth="1"/>
    <col min="3075" max="3075" width="13.5703125" style="1207" customWidth="1"/>
    <col min="3076" max="3076" width="65" style="1207" customWidth="1"/>
    <col min="3077" max="3077" width="6.7109375" style="1207" customWidth="1"/>
    <col min="3078" max="3078" width="8.42578125" style="1207" customWidth="1"/>
    <col min="3079" max="3079" width="10" style="1207" customWidth="1"/>
    <col min="3080" max="3080" width="15.7109375" style="1207" customWidth="1"/>
    <col min="3081" max="3081" width="17.5703125" style="1207" customWidth="1"/>
    <col min="3082" max="3082" width="12.42578125" style="1207" customWidth="1"/>
    <col min="3083" max="3084" width="9" style="1207"/>
    <col min="3085" max="3086" width="12.7109375" style="1207" customWidth="1"/>
    <col min="3087" max="3087" width="10.85546875" style="1207" customWidth="1"/>
    <col min="3088" max="3088" width="17.28515625" style="1207" customWidth="1"/>
    <col min="3089" max="3089" width="15" style="1207" customWidth="1"/>
    <col min="3090" max="3090" width="12.28515625" style="1207" customWidth="1"/>
    <col min="3091" max="3091" width="13.85546875" style="1207" customWidth="1"/>
    <col min="3092" max="3328" width="9" style="1207"/>
    <col min="3329" max="3329" width="4.140625" style="1207" customWidth="1"/>
    <col min="3330" max="3330" width="4.28515625" style="1207" customWidth="1"/>
    <col min="3331" max="3331" width="13.5703125" style="1207" customWidth="1"/>
    <col min="3332" max="3332" width="65" style="1207" customWidth="1"/>
    <col min="3333" max="3333" width="6.7109375" style="1207" customWidth="1"/>
    <col min="3334" max="3334" width="8.42578125" style="1207" customWidth="1"/>
    <col min="3335" max="3335" width="10" style="1207" customWidth="1"/>
    <col min="3336" max="3336" width="15.7109375" style="1207" customWidth="1"/>
    <col min="3337" max="3337" width="17.5703125" style="1207" customWidth="1"/>
    <col min="3338" max="3338" width="12.42578125" style="1207" customWidth="1"/>
    <col min="3339" max="3340" width="9" style="1207"/>
    <col min="3341" max="3342" width="12.7109375" style="1207" customWidth="1"/>
    <col min="3343" max="3343" width="10.85546875" style="1207" customWidth="1"/>
    <col min="3344" max="3344" width="17.28515625" style="1207" customWidth="1"/>
    <col min="3345" max="3345" width="15" style="1207" customWidth="1"/>
    <col min="3346" max="3346" width="12.28515625" style="1207" customWidth="1"/>
    <col min="3347" max="3347" width="13.85546875" style="1207" customWidth="1"/>
    <col min="3348" max="3584" width="9" style="1207"/>
    <col min="3585" max="3585" width="4.140625" style="1207" customWidth="1"/>
    <col min="3586" max="3586" width="4.28515625" style="1207" customWidth="1"/>
    <col min="3587" max="3587" width="13.5703125" style="1207" customWidth="1"/>
    <col min="3588" max="3588" width="65" style="1207" customWidth="1"/>
    <col min="3589" max="3589" width="6.7109375" style="1207" customWidth="1"/>
    <col min="3590" max="3590" width="8.42578125" style="1207" customWidth="1"/>
    <col min="3591" max="3591" width="10" style="1207" customWidth="1"/>
    <col min="3592" max="3592" width="15.7109375" style="1207" customWidth="1"/>
    <col min="3593" max="3593" width="17.5703125" style="1207" customWidth="1"/>
    <col min="3594" max="3594" width="12.42578125" style="1207" customWidth="1"/>
    <col min="3595" max="3596" width="9" style="1207"/>
    <col min="3597" max="3598" width="12.7109375" style="1207" customWidth="1"/>
    <col min="3599" max="3599" width="10.85546875" style="1207" customWidth="1"/>
    <col min="3600" max="3600" width="17.28515625" style="1207" customWidth="1"/>
    <col min="3601" max="3601" width="15" style="1207" customWidth="1"/>
    <col min="3602" max="3602" width="12.28515625" style="1207" customWidth="1"/>
    <col min="3603" max="3603" width="13.85546875" style="1207" customWidth="1"/>
    <col min="3604" max="3840" width="9" style="1207"/>
    <col min="3841" max="3841" width="4.140625" style="1207" customWidth="1"/>
    <col min="3842" max="3842" width="4.28515625" style="1207" customWidth="1"/>
    <col min="3843" max="3843" width="13.5703125" style="1207" customWidth="1"/>
    <col min="3844" max="3844" width="65" style="1207" customWidth="1"/>
    <col min="3845" max="3845" width="6.7109375" style="1207" customWidth="1"/>
    <col min="3846" max="3846" width="8.42578125" style="1207" customWidth="1"/>
    <col min="3847" max="3847" width="10" style="1207" customWidth="1"/>
    <col min="3848" max="3848" width="15.7109375" style="1207" customWidth="1"/>
    <col min="3849" max="3849" width="17.5703125" style="1207" customWidth="1"/>
    <col min="3850" max="3850" width="12.42578125" style="1207" customWidth="1"/>
    <col min="3851" max="3852" width="9" style="1207"/>
    <col min="3853" max="3854" width="12.7109375" style="1207" customWidth="1"/>
    <col min="3855" max="3855" width="10.85546875" style="1207" customWidth="1"/>
    <col min="3856" max="3856" width="17.28515625" style="1207" customWidth="1"/>
    <col min="3857" max="3857" width="15" style="1207" customWidth="1"/>
    <col min="3858" max="3858" width="12.28515625" style="1207" customWidth="1"/>
    <col min="3859" max="3859" width="13.85546875" style="1207" customWidth="1"/>
    <col min="3860" max="4096" width="9" style="1207"/>
    <col min="4097" max="4097" width="4.140625" style="1207" customWidth="1"/>
    <col min="4098" max="4098" width="4.28515625" style="1207" customWidth="1"/>
    <col min="4099" max="4099" width="13.5703125" style="1207" customWidth="1"/>
    <col min="4100" max="4100" width="65" style="1207" customWidth="1"/>
    <col min="4101" max="4101" width="6.7109375" style="1207" customWidth="1"/>
    <col min="4102" max="4102" width="8.42578125" style="1207" customWidth="1"/>
    <col min="4103" max="4103" width="10" style="1207" customWidth="1"/>
    <col min="4104" max="4104" width="15.7109375" style="1207" customWidth="1"/>
    <col min="4105" max="4105" width="17.5703125" style="1207" customWidth="1"/>
    <col min="4106" max="4106" width="12.42578125" style="1207" customWidth="1"/>
    <col min="4107" max="4108" width="9" style="1207"/>
    <col min="4109" max="4110" width="12.7109375" style="1207" customWidth="1"/>
    <col min="4111" max="4111" width="10.85546875" style="1207" customWidth="1"/>
    <col min="4112" max="4112" width="17.28515625" style="1207" customWidth="1"/>
    <col min="4113" max="4113" width="15" style="1207" customWidth="1"/>
    <col min="4114" max="4114" width="12.28515625" style="1207" customWidth="1"/>
    <col min="4115" max="4115" width="13.85546875" style="1207" customWidth="1"/>
    <col min="4116" max="4352" width="9" style="1207"/>
    <col min="4353" max="4353" width="4.140625" style="1207" customWidth="1"/>
    <col min="4354" max="4354" width="4.28515625" style="1207" customWidth="1"/>
    <col min="4355" max="4355" width="13.5703125" style="1207" customWidth="1"/>
    <col min="4356" max="4356" width="65" style="1207" customWidth="1"/>
    <col min="4357" max="4357" width="6.7109375" style="1207" customWidth="1"/>
    <col min="4358" max="4358" width="8.42578125" style="1207" customWidth="1"/>
    <col min="4359" max="4359" width="10" style="1207" customWidth="1"/>
    <col min="4360" max="4360" width="15.7109375" style="1207" customWidth="1"/>
    <col min="4361" max="4361" width="17.5703125" style="1207" customWidth="1"/>
    <col min="4362" max="4362" width="12.42578125" style="1207" customWidth="1"/>
    <col min="4363" max="4364" width="9" style="1207"/>
    <col min="4365" max="4366" width="12.7109375" style="1207" customWidth="1"/>
    <col min="4367" max="4367" width="10.85546875" style="1207" customWidth="1"/>
    <col min="4368" max="4368" width="17.28515625" style="1207" customWidth="1"/>
    <col min="4369" max="4369" width="15" style="1207" customWidth="1"/>
    <col min="4370" max="4370" width="12.28515625" style="1207" customWidth="1"/>
    <col min="4371" max="4371" width="13.85546875" style="1207" customWidth="1"/>
    <col min="4372" max="4608" width="9" style="1207"/>
    <col min="4609" max="4609" width="4.140625" style="1207" customWidth="1"/>
    <col min="4610" max="4610" width="4.28515625" style="1207" customWidth="1"/>
    <col min="4611" max="4611" width="13.5703125" style="1207" customWidth="1"/>
    <col min="4612" max="4612" width="65" style="1207" customWidth="1"/>
    <col min="4613" max="4613" width="6.7109375" style="1207" customWidth="1"/>
    <col min="4614" max="4614" width="8.42578125" style="1207" customWidth="1"/>
    <col min="4615" max="4615" width="10" style="1207" customWidth="1"/>
    <col min="4616" max="4616" width="15.7109375" style="1207" customWidth="1"/>
    <col min="4617" max="4617" width="17.5703125" style="1207" customWidth="1"/>
    <col min="4618" max="4618" width="12.42578125" style="1207" customWidth="1"/>
    <col min="4619" max="4620" width="9" style="1207"/>
    <col min="4621" max="4622" width="12.7109375" style="1207" customWidth="1"/>
    <col min="4623" max="4623" width="10.85546875" style="1207" customWidth="1"/>
    <col min="4624" max="4624" width="17.28515625" style="1207" customWidth="1"/>
    <col min="4625" max="4625" width="15" style="1207" customWidth="1"/>
    <col min="4626" max="4626" width="12.28515625" style="1207" customWidth="1"/>
    <col min="4627" max="4627" width="13.85546875" style="1207" customWidth="1"/>
    <col min="4628" max="4864" width="9" style="1207"/>
    <col min="4865" max="4865" width="4.140625" style="1207" customWidth="1"/>
    <col min="4866" max="4866" width="4.28515625" style="1207" customWidth="1"/>
    <col min="4867" max="4867" width="13.5703125" style="1207" customWidth="1"/>
    <col min="4868" max="4868" width="65" style="1207" customWidth="1"/>
    <col min="4869" max="4869" width="6.7109375" style="1207" customWidth="1"/>
    <col min="4870" max="4870" width="8.42578125" style="1207" customWidth="1"/>
    <col min="4871" max="4871" width="10" style="1207" customWidth="1"/>
    <col min="4872" max="4872" width="15.7109375" style="1207" customWidth="1"/>
    <col min="4873" max="4873" width="17.5703125" style="1207" customWidth="1"/>
    <col min="4874" max="4874" width="12.42578125" style="1207" customWidth="1"/>
    <col min="4875" max="4876" width="9" style="1207"/>
    <col min="4877" max="4878" width="12.7109375" style="1207" customWidth="1"/>
    <col min="4879" max="4879" width="10.85546875" style="1207" customWidth="1"/>
    <col min="4880" max="4880" width="17.28515625" style="1207" customWidth="1"/>
    <col min="4881" max="4881" width="15" style="1207" customWidth="1"/>
    <col min="4882" max="4882" width="12.28515625" style="1207" customWidth="1"/>
    <col min="4883" max="4883" width="13.85546875" style="1207" customWidth="1"/>
    <col min="4884" max="5120" width="9" style="1207"/>
    <col min="5121" max="5121" width="4.140625" style="1207" customWidth="1"/>
    <col min="5122" max="5122" width="4.28515625" style="1207" customWidth="1"/>
    <col min="5123" max="5123" width="13.5703125" style="1207" customWidth="1"/>
    <col min="5124" max="5124" width="65" style="1207" customWidth="1"/>
    <col min="5125" max="5125" width="6.7109375" style="1207" customWidth="1"/>
    <col min="5126" max="5126" width="8.42578125" style="1207" customWidth="1"/>
    <col min="5127" max="5127" width="10" style="1207" customWidth="1"/>
    <col min="5128" max="5128" width="15.7109375" style="1207" customWidth="1"/>
    <col min="5129" max="5129" width="17.5703125" style="1207" customWidth="1"/>
    <col min="5130" max="5130" width="12.42578125" style="1207" customWidth="1"/>
    <col min="5131" max="5132" width="9" style="1207"/>
    <col min="5133" max="5134" width="12.7109375" style="1207" customWidth="1"/>
    <col min="5135" max="5135" width="10.85546875" style="1207" customWidth="1"/>
    <col min="5136" max="5136" width="17.28515625" style="1207" customWidth="1"/>
    <col min="5137" max="5137" width="15" style="1207" customWidth="1"/>
    <col min="5138" max="5138" width="12.28515625" style="1207" customWidth="1"/>
    <col min="5139" max="5139" width="13.85546875" style="1207" customWidth="1"/>
    <col min="5140" max="5376" width="9" style="1207"/>
    <col min="5377" max="5377" width="4.140625" style="1207" customWidth="1"/>
    <col min="5378" max="5378" width="4.28515625" style="1207" customWidth="1"/>
    <col min="5379" max="5379" width="13.5703125" style="1207" customWidth="1"/>
    <col min="5380" max="5380" width="65" style="1207" customWidth="1"/>
    <col min="5381" max="5381" width="6.7109375" style="1207" customWidth="1"/>
    <col min="5382" max="5382" width="8.42578125" style="1207" customWidth="1"/>
    <col min="5383" max="5383" width="10" style="1207" customWidth="1"/>
    <col min="5384" max="5384" width="15.7109375" style="1207" customWidth="1"/>
    <col min="5385" max="5385" width="17.5703125" style="1207" customWidth="1"/>
    <col min="5386" max="5386" width="12.42578125" style="1207" customWidth="1"/>
    <col min="5387" max="5388" width="9" style="1207"/>
    <col min="5389" max="5390" width="12.7109375" style="1207" customWidth="1"/>
    <col min="5391" max="5391" width="10.85546875" style="1207" customWidth="1"/>
    <col min="5392" max="5392" width="17.28515625" style="1207" customWidth="1"/>
    <col min="5393" max="5393" width="15" style="1207" customWidth="1"/>
    <col min="5394" max="5394" width="12.28515625" style="1207" customWidth="1"/>
    <col min="5395" max="5395" width="13.85546875" style="1207" customWidth="1"/>
    <col min="5396" max="5632" width="9" style="1207"/>
    <col min="5633" max="5633" width="4.140625" style="1207" customWidth="1"/>
    <col min="5634" max="5634" width="4.28515625" style="1207" customWidth="1"/>
    <col min="5635" max="5635" width="13.5703125" style="1207" customWidth="1"/>
    <col min="5636" max="5636" width="65" style="1207" customWidth="1"/>
    <col min="5637" max="5637" width="6.7109375" style="1207" customWidth="1"/>
    <col min="5638" max="5638" width="8.42578125" style="1207" customWidth="1"/>
    <col min="5639" max="5639" width="10" style="1207" customWidth="1"/>
    <col min="5640" max="5640" width="15.7109375" style="1207" customWidth="1"/>
    <col min="5641" max="5641" width="17.5703125" style="1207" customWidth="1"/>
    <col min="5642" max="5642" width="12.42578125" style="1207" customWidth="1"/>
    <col min="5643" max="5644" width="9" style="1207"/>
    <col min="5645" max="5646" width="12.7109375" style="1207" customWidth="1"/>
    <col min="5647" max="5647" width="10.85546875" style="1207" customWidth="1"/>
    <col min="5648" max="5648" width="17.28515625" style="1207" customWidth="1"/>
    <col min="5649" max="5649" width="15" style="1207" customWidth="1"/>
    <col min="5650" max="5650" width="12.28515625" style="1207" customWidth="1"/>
    <col min="5651" max="5651" width="13.85546875" style="1207" customWidth="1"/>
    <col min="5652" max="5888" width="9" style="1207"/>
    <col min="5889" max="5889" width="4.140625" style="1207" customWidth="1"/>
    <col min="5890" max="5890" width="4.28515625" style="1207" customWidth="1"/>
    <col min="5891" max="5891" width="13.5703125" style="1207" customWidth="1"/>
    <col min="5892" max="5892" width="65" style="1207" customWidth="1"/>
    <col min="5893" max="5893" width="6.7109375" style="1207" customWidth="1"/>
    <col min="5894" max="5894" width="8.42578125" style="1207" customWidth="1"/>
    <col min="5895" max="5895" width="10" style="1207" customWidth="1"/>
    <col min="5896" max="5896" width="15.7109375" style="1207" customWidth="1"/>
    <col min="5897" max="5897" width="17.5703125" style="1207" customWidth="1"/>
    <col min="5898" max="5898" width="12.42578125" style="1207" customWidth="1"/>
    <col min="5899" max="5900" width="9" style="1207"/>
    <col min="5901" max="5902" width="12.7109375" style="1207" customWidth="1"/>
    <col min="5903" max="5903" width="10.85546875" style="1207" customWidth="1"/>
    <col min="5904" max="5904" width="17.28515625" style="1207" customWidth="1"/>
    <col min="5905" max="5905" width="15" style="1207" customWidth="1"/>
    <col min="5906" max="5906" width="12.28515625" style="1207" customWidth="1"/>
    <col min="5907" max="5907" width="13.85546875" style="1207" customWidth="1"/>
    <col min="5908" max="6144" width="9" style="1207"/>
    <col min="6145" max="6145" width="4.140625" style="1207" customWidth="1"/>
    <col min="6146" max="6146" width="4.28515625" style="1207" customWidth="1"/>
    <col min="6147" max="6147" width="13.5703125" style="1207" customWidth="1"/>
    <col min="6148" max="6148" width="65" style="1207" customWidth="1"/>
    <col min="6149" max="6149" width="6.7109375" style="1207" customWidth="1"/>
    <col min="6150" max="6150" width="8.42578125" style="1207" customWidth="1"/>
    <col min="6151" max="6151" width="10" style="1207" customWidth="1"/>
    <col min="6152" max="6152" width="15.7109375" style="1207" customWidth="1"/>
    <col min="6153" max="6153" width="17.5703125" style="1207" customWidth="1"/>
    <col min="6154" max="6154" width="12.42578125" style="1207" customWidth="1"/>
    <col min="6155" max="6156" width="9" style="1207"/>
    <col min="6157" max="6158" width="12.7109375" style="1207" customWidth="1"/>
    <col min="6159" max="6159" width="10.85546875" style="1207" customWidth="1"/>
    <col min="6160" max="6160" width="17.28515625" style="1207" customWidth="1"/>
    <col min="6161" max="6161" width="15" style="1207" customWidth="1"/>
    <col min="6162" max="6162" width="12.28515625" style="1207" customWidth="1"/>
    <col min="6163" max="6163" width="13.85546875" style="1207" customWidth="1"/>
    <col min="6164" max="6400" width="9" style="1207"/>
    <col min="6401" max="6401" width="4.140625" style="1207" customWidth="1"/>
    <col min="6402" max="6402" width="4.28515625" style="1207" customWidth="1"/>
    <col min="6403" max="6403" width="13.5703125" style="1207" customWidth="1"/>
    <col min="6404" max="6404" width="65" style="1207" customWidth="1"/>
    <col min="6405" max="6405" width="6.7109375" style="1207" customWidth="1"/>
    <col min="6406" max="6406" width="8.42578125" style="1207" customWidth="1"/>
    <col min="6407" max="6407" width="10" style="1207" customWidth="1"/>
    <col min="6408" max="6408" width="15.7109375" style="1207" customWidth="1"/>
    <col min="6409" max="6409" width="17.5703125" style="1207" customWidth="1"/>
    <col min="6410" max="6410" width="12.42578125" style="1207" customWidth="1"/>
    <col min="6411" max="6412" width="9" style="1207"/>
    <col min="6413" max="6414" width="12.7109375" style="1207" customWidth="1"/>
    <col min="6415" max="6415" width="10.85546875" style="1207" customWidth="1"/>
    <col min="6416" max="6416" width="17.28515625" style="1207" customWidth="1"/>
    <col min="6417" max="6417" width="15" style="1207" customWidth="1"/>
    <col min="6418" max="6418" width="12.28515625" style="1207" customWidth="1"/>
    <col min="6419" max="6419" width="13.85546875" style="1207" customWidth="1"/>
    <col min="6420" max="6656" width="9" style="1207"/>
    <col min="6657" max="6657" width="4.140625" style="1207" customWidth="1"/>
    <col min="6658" max="6658" width="4.28515625" style="1207" customWidth="1"/>
    <col min="6659" max="6659" width="13.5703125" style="1207" customWidth="1"/>
    <col min="6660" max="6660" width="65" style="1207" customWidth="1"/>
    <col min="6661" max="6661" width="6.7109375" style="1207" customWidth="1"/>
    <col min="6662" max="6662" width="8.42578125" style="1207" customWidth="1"/>
    <col min="6663" max="6663" width="10" style="1207" customWidth="1"/>
    <col min="6664" max="6664" width="15.7109375" style="1207" customWidth="1"/>
    <col min="6665" max="6665" width="17.5703125" style="1207" customWidth="1"/>
    <col min="6666" max="6666" width="12.42578125" style="1207" customWidth="1"/>
    <col min="6667" max="6668" width="9" style="1207"/>
    <col min="6669" max="6670" width="12.7109375" style="1207" customWidth="1"/>
    <col min="6671" max="6671" width="10.85546875" style="1207" customWidth="1"/>
    <col min="6672" max="6672" width="17.28515625" style="1207" customWidth="1"/>
    <col min="6673" max="6673" width="15" style="1207" customWidth="1"/>
    <col min="6674" max="6674" width="12.28515625" style="1207" customWidth="1"/>
    <col min="6675" max="6675" width="13.85546875" style="1207" customWidth="1"/>
    <col min="6676" max="6912" width="9" style="1207"/>
    <col min="6913" max="6913" width="4.140625" style="1207" customWidth="1"/>
    <col min="6914" max="6914" width="4.28515625" style="1207" customWidth="1"/>
    <col min="6915" max="6915" width="13.5703125" style="1207" customWidth="1"/>
    <col min="6916" max="6916" width="65" style="1207" customWidth="1"/>
    <col min="6917" max="6917" width="6.7109375" style="1207" customWidth="1"/>
    <col min="6918" max="6918" width="8.42578125" style="1207" customWidth="1"/>
    <col min="6919" max="6919" width="10" style="1207" customWidth="1"/>
    <col min="6920" max="6920" width="15.7109375" style="1207" customWidth="1"/>
    <col min="6921" max="6921" width="17.5703125" style="1207" customWidth="1"/>
    <col min="6922" max="6922" width="12.42578125" style="1207" customWidth="1"/>
    <col min="6923" max="6924" width="9" style="1207"/>
    <col min="6925" max="6926" width="12.7109375" style="1207" customWidth="1"/>
    <col min="6927" max="6927" width="10.85546875" style="1207" customWidth="1"/>
    <col min="6928" max="6928" width="17.28515625" style="1207" customWidth="1"/>
    <col min="6929" max="6929" width="15" style="1207" customWidth="1"/>
    <col min="6930" max="6930" width="12.28515625" style="1207" customWidth="1"/>
    <col min="6931" max="6931" width="13.85546875" style="1207" customWidth="1"/>
    <col min="6932" max="7168" width="9" style="1207"/>
    <col min="7169" max="7169" width="4.140625" style="1207" customWidth="1"/>
    <col min="7170" max="7170" width="4.28515625" style="1207" customWidth="1"/>
    <col min="7171" max="7171" width="13.5703125" style="1207" customWidth="1"/>
    <col min="7172" max="7172" width="65" style="1207" customWidth="1"/>
    <col min="7173" max="7173" width="6.7109375" style="1207" customWidth="1"/>
    <col min="7174" max="7174" width="8.42578125" style="1207" customWidth="1"/>
    <col min="7175" max="7175" width="10" style="1207" customWidth="1"/>
    <col min="7176" max="7176" width="15.7109375" style="1207" customWidth="1"/>
    <col min="7177" max="7177" width="17.5703125" style="1207" customWidth="1"/>
    <col min="7178" max="7178" width="12.42578125" style="1207" customWidth="1"/>
    <col min="7179" max="7180" width="9" style="1207"/>
    <col min="7181" max="7182" width="12.7109375" style="1207" customWidth="1"/>
    <col min="7183" max="7183" width="10.85546875" style="1207" customWidth="1"/>
    <col min="7184" max="7184" width="17.28515625" style="1207" customWidth="1"/>
    <col min="7185" max="7185" width="15" style="1207" customWidth="1"/>
    <col min="7186" max="7186" width="12.28515625" style="1207" customWidth="1"/>
    <col min="7187" max="7187" width="13.85546875" style="1207" customWidth="1"/>
    <col min="7188" max="7424" width="9" style="1207"/>
    <col min="7425" max="7425" width="4.140625" style="1207" customWidth="1"/>
    <col min="7426" max="7426" width="4.28515625" style="1207" customWidth="1"/>
    <col min="7427" max="7427" width="13.5703125" style="1207" customWidth="1"/>
    <col min="7428" max="7428" width="65" style="1207" customWidth="1"/>
    <col min="7429" max="7429" width="6.7109375" style="1207" customWidth="1"/>
    <col min="7430" max="7430" width="8.42578125" style="1207" customWidth="1"/>
    <col min="7431" max="7431" width="10" style="1207" customWidth="1"/>
    <col min="7432" max="7432" width="15.7109375" style="1207" customWidth="1"/>
    <col min="7433" max="7433" width="17.5703125" style="1207" customWidth="1"/>
    <col min="7434" max="7434" width="12.42578125" style="1207" customWidth="1"/>
    <col min="7435" max="7436" width="9" style="1207"/>
    <col min="7437" max="7438" width="12.7109375" style="1207" customWidth="1"/>
    <col min="7439" max="7439" width="10.85546875" style="1207" customWidth="1"/>
    <col min="7440" max="7440" width="17.28515625" style="1207" customWidth="1"/>
    <col min="7441" max="7441" width="15" style="1207" customWidth="1"/>
    <col min="7442" max="7442" width="12.28515625" style="1207" customWidth="1"/>
    <col min="7443" max="7443" width="13.85546875" style="1207" customWidth="1"/>
    <col min="7444" max="7680" width="9" style="1207"/>
    <col min="7681" max="7681" width="4.140625" style="1207" customWidth="1"/>
    <col min="7682" max="7682" width="4.28515625" style="1207" customWidth="1"/>
    <col min="7683" max="7683" width="13.5703125" style="1207" customWidth="1"/>
    <col min="7684" max="7684" width="65" style="1207" customWidth="1"/>
    <col min="7685" max="7685" width="6.7109375" style="1207" customWidth="1"/>
    <col min="7686" max="7686" width="8.42578125" style="1207" customWidth="1"/>
    <col min="7687" max="7687" width="10" style="1207" customWidth="1"/>
    <col min="7688" max="7688" width="15.7109375" style="1207" customWidth="1"/>
    <col min="7689" max="7689" width="17.5703125" style="1207" customWidth="1"/>
    <col min="7690" max="7690" width="12.42578125" style="1207" customWidth="1"/>
    <col min="7691" max="7692" width="9" style="1207"/>
    <col min="7693" max="7694" width="12.7109375" style="1207" customWidth="1"/>
    <col min="7695" max="7695" width="10.85546875" style="1207" customWidth="1"/>
    <col min="7696" max="7696" width="17.28515625" style="1207" customWidth="1"/>
    <col min="7697" max="7697" width="15" style="1207" customWidth="1"/>
    <col min="7698" max="7698" width="12.28515625" style="1207" customWidth="1"/>
    <col min="7699" max="7699" width="13.85546875" style="1207" customWidth="1"/>
    <col min="7700" max="7936" width="9" style="1207"/>
    <col min="7937" max="7937" width="4.140625" style="1207" customWidth="1"/>
    <col min="7938" max="7938" width="4.28515625" style="1207" customWidth="1"/>
    <col min="7939" max="7939" width="13.5703125" style="1207" customWidth="1"/>
    <col min="7940" max="7940" width="65" style="1207" customWidth="1"/>
    <col min="7941" max="7941" width="6.7109375" style="1207" customWidth="1"/>
    <col min="7942" max="7942" width="8.42578125" style="1207" customWidth="1"/>
    <col min="7943" max="7943" width="10" style="1207" customWidth="1"/>
    <col min="7944" max="7944" width="15.7109375" style="1207" customWidth="1"/>
    <col min="7945" max="7945" width="17.5703125" style="1207" customWidth="1"/>
    <col min="7946" max="7946" width="12.42578125" style="1207" customWidth="1"/>
    <col min="7947" max="7948" width="9" style="1207"/>
    <col min="7949" max="7950" width="12.7109375" style="1207" customWidth="1"/>
    <col min="7951" max="7951" width="10.85546875" style="1207" customWidth="1"/>
    <col min="7952" max="7952" width="17.28515625" style="1207" customWidth="1"/>
    <col min="7953" max="7953" width="15" style="1207" customWidth="1"/>
    <col min="7954" max="7954" width="12.28515625" style="1207" customWidth="1"/>
    <col min="7955" max="7955" width="13.85546875" style="1207" customWidth="1"/>
    <col min="7956" max="8192" width="9" style="1207"/>
    <col min="8193" max="8193" width="4.140625" style="1207" customWidth="1"/>
    <col min="8194" max="8194" width="4.28515625" style="1207" customWidth="1"/>
    <col min="8195" max="8195" width="13.5703125" style="1207" customWidth="1"/>
    <col min="8196" max="8196" width="65" style="1207" customWidth="1"/>
    <col min="8197" max="8197" width="6.7109375" style="1207" customWidth="1"/>
    <col min="8198" max="8198" width="8.42578125" style="1207" customWidth="1"/>
    <col min="8199" max="8199" width="10" style="1207" customWidth="1"/>
    <col min="8200" max="8200" width="15.7109375" style="1207" customWidth="1"/>
    <col min="8201" max="8201" width="17.5703125" style="1207" customWidth="1"/>
    <col min="8202" max="8202" width="12.42578125" style="1207" customWidth="1"/>
    <col min="8203" max="8204" width="9" style="1207"/>
    <col min="8205" max="8206" width="12.7109375" style="1207" customWidth="1"/>
    <col min="8207" max="8207" width="10.85546875" style="1207" customWidth="1"/>
    <col min="8208" max="8208" width="17.28515625" style="1207" customWidth="1"/>
    <col min="8209" max="8209" width="15" style="1207" customWidth="1"/>
    <col min="8210" max="8210" width="12.28515625" style="1207" customWidth="1"/>
    <col min="8211" max="8211" width="13.85546875" style="1207" customWidth="1"/>
    <col min="8212" max="8448" width="9" style="1207"/>
    <col min="8449" max="8449" width="4.140625" style="1207" customWidth="1"/>
    <col min="8450" max="8450" width="4.28515625" style="1207" customWidth="1"/>
    <col min="8451" max="8451" width="13.5703125" style="1207" customWidth="1"/>
    <col min="8452" max="8452" width="65" style="1207" customWidth="1"/>
    <col min="8453" max="8453" width="6.7109375" style="1207" customWidth="1"/>
    <col min="8454" max="8454" width="8.42578125" style="1207" customWidth="1"/>
    <col min="8455" max="8455" width="10" style="1207" customWidth="1"/>
    <col min="8456" max="8456" width="15.7109375" style="1207" customWidth="1"/>
    <col min="8457" max="8457" width="17.5703125" style="1207" customWidth="1"/>
    <col min="8458" max="8458" width="12.42578125" style="1207" customWidth="1"/>
    <col min="8459" max="8460" width="9" style="1207"/>
    <col min="8461" max="8462" width="12.7109375" style="1207" customWidth="1"/>
    <col min="8463" max="8463" width="10.85546875" style="1207" customWidth="1"/>
    <col min="8464" max="8464" width="17.28515625" style="1207" customWidth="1"/>
    <col min="8465" max="8465" width="15" style="1207" customWidth="1"/>
    <col min="8466" max="8466" width="12.28515625" style="1207" customWidth="1"/>
    <col min="8467" max="8467" width="13.85546875" style="1207" customWidth="1"/>
    <col min="8468" max="8704" width="9" style="1207"/>
    <col min="8705" max="8705" width="4.140625" style="1207" customWidth="1"/>
    <col min="8706" max="8706" width="4.28515625" style="1207" customWidth="1"/>
    <col min="8707" max="8707" width="13.5703125" style="1207" customWidth="1"/>
    <col min="8708" max="8708" width="65" style="1207" customWidth="1"/>
    <col min="8709" max="8709" width="6.7109375" style="1207" customWidth="1"/>
    <col min="8710" max="8710" width="8.42578125" style="1207" customWidth="1"/>
    <col min="8711" max="8711" width="10" style="1207" customWidth="1"/>
    <col min="8712" max="8712" width="15.7109375" style="1207" customWidth="1"/>
    <col min="8713" max="8713" width="17.5703125" style="1207" customWidth="1"/>
    <col min="8714" max="8714" width="12.42578125" style="1207" customWidth="1"/>
    <col min="8715" max="8716" width="9" style="1207"/>
    <col min="8717" max="8718" width="12.7109375" style="1207" customWidth="1"/>
    <col min="8719" max="8719" width="10.85546875" style="1207" customWidth="1"/>
    <col min="8720" max="8720" width="17.28515625" style="1207" customWidth="1"/>
    <col min="8721" max="8721" width="15" style="1207" customWidth="1"/>
    <col min="8722" max="8722" width="12.28515625" style="1207" customWidth="1"/>
    <col min="8723" max="8723" width="13.85546875" style="1207" customWidth="1"/>
    <col min="8724" max="8960" width="9" style="1207"/>
    <col min="8961" max="8961" width="4.140625" style="1207" customWidth="1"/>
    <col min="8962" max="8962" width="4.28515625" style="1207" customWidth="1"/>
    <col min="8963" max="8963" width="13.5703125" style="1207" customWidth="1"/>
    <col min="8964" max="8964" width="65" style="1207" customWidth="1"/>
    <col min="8965" max="8965" width="6.7109375" style="1207" customWidth="1"/>
    <col min="8966" max="8966" width="8.42578125" style="1207" customWidth="1"/>
    <col min="8967" max="8967" width="10" style="1207" customWidth="1"/>
    <col min="8968" max="8968" width="15.7109375" style="1207" customWidth="1"/>
    <col min="8969" max="8969" width="17.5703125" style="1207" customWidth="1"/>
    <col min="8970" max="8970" width="12.42578125" style="1207" customWidth="1"/>
    <col min="8971" max="8972" width="9" style="1207"/>
    <col min="8973" max="8974" width="12.7109375" style="1207" customWidth="1"/>
    <col min="8975" max="8975" width="10.85546875" style="1207" customWidth="1"/>
    <col min="8976" max="8976" width="17.28515625" style="1207" customWidth="1"/>
    <col min="8977" max="8977" width="15" style="1207" customWidth="1"/>
    <col min="8978" max="8978" width="12.28515625" style="1207" customWidth="1"/>
    <col min="8979" max="8979" width="13.85546875" style="1207" customWidth="1"/>
    <col min="8980" max="9216" width="9" style="1207"/>
    <col min="9217" max="9217" width="4.140625" style="1207" customWidth="1"/>
    <col min="9218" max="9218" width="4.28515625" style="1207" customWidth="1"/>
    <col min="9219" max="9219" width="13.5703125" style="1207" customWidth="1"/>
    <col min="9220" max="9220" width="65" style="1207" customWidth="1"/>
    <col min="9221" max="9221" width="6.7109375" style="1207" customWidth="1"/>
    <col min="9222" max="9222" width="8.42578125" style="1207" customWidth="1"/>
    <col min="9223" max="9223" width="10" style="1207" customWidth="1"/>
    <col min="9224" max="9224" width="15.7109375" style="1207" customWidth="1"/>
    <col min="9225" max="9225" width="17.5703125" style="1207" customWidth="1"/>
    <col min="9226" max="9226" width="12.42578125" style="1207" customWidth="1"/>
    <col min="9227" max="9228" width="9" style="1207"/>
    <col min="9229" max="9230" width="12.7109375" style="1207" customWidth="1"/>
    <col min="9231" max="9231" width="10.85546875" style="1207" customWidth="1"/>
    <col min="9232" max="9232" width="17.28515625" style="1207" customWidth="1"/>
    <col min="9233" max="9233" width="15" style="1207" customWidth="1"/>
    <col min="9234" max="9234" width="12.28515625" style="1207" customWidth="1"/>
    <col min="9235" max="9235" width="13.85546875" style="1207" customWidth="1"/>
    <col min="9236" max="9472" width="9" style="1207"/>
    <col min="9473" max="9473" width="4.140625" style="1207" customWidth="1"/>
    <col min="9474" max="9474" width="4.28515625" style="1207" customWidth="1"/>
    <col min="9475" max="9475" width="13.5703125" style="1207" customWidth="1"/>
    <col min="9476" max="9476" width="65" style="1207" customWidth="1"/>
    <col min="9477" max="9477" width="6.7109375" style="1207" customWidth="1"/>
    <col min="9478" max="9478" width="8.42578125" style="1207" customWidth="1"/>
    <col min="9479" max="9479" width="10" style="1207" customWidth="1"/>
    <col min="9480" max="9480" width="15.7109375" style="1207" customWidth="1"/>
    <col min="9481" max="9481" width="17.5703125" style="1207" customWidth="1"/>
    <col min="9482" max="9482" width="12.42578125" style="1207" customWidth="1"/>
    <col min="9483" max="9484" width="9" style="1207"/>
    <col min="9485" max="9486" width="12.7109375" style="1207" customWidth="1"/>
    <col min="9487" max="9487" width="10.85546875" style="1207" customWidth="1"/>
    <col min="9488" max="9488" width="17.28515625" style="1207" customWidth="1"/>
    <col min="9489" max="9489" width="15" style="1207" customWidth="1"/>
    <col min="9490" max="9490" width="12.28515625" style="1207" customWidth="1"/>
    <col min="9491" max="9491" width="13.85546875" style="1207" customWidth="1"/>
    <col min="9492" max="9728" width="9" style="1207"/>
    <col min="9729" max="9729" width="4.140625" style="1207" customWidth="1"/>
    <col min="9730" max="9730" width="4.28515625" style="1207" customWidth="1"/>
    <col min="9731" max="9731" width="13.5703125" style="1207" customWidth="1"/>
    <col min="9732" max="9732" width="65" style="1207" customWidth="1"/>
    <col min="9733" max="9733" width="6.7109375" style="1207" customWidth="1"/>
    <col min="9734" max="9734" width="8.42578125" style="1207" customWidth="1"/>
    <col min="9735" max="9735" width="10" style="1207" customWidth="1"/>
    <col min="9736" max="9736" width="15.7109375" style="1207" customWidth="1"/>
    <col min="9737" max="9737" width="17.5703125" style="1207" customWidth="1"/>
    <col min="9738" max="9738" width="12.42578125" style="1207" customWidth="1"/>
    <col min="9739" max="9740" width="9" style="1207"/>
    <col min="9741" max="9742" width="12.7109375" style="1207" customWidth="1"/>
    <col min="9743" max="9743" width="10.85546875" style="1207" customWidth="1"/>
    <col min="9744" max="9744" width="17.28515625" style="1207" customWidth="1"/>
    <col min="9745" max="9745" width="15" style="1207" customWidth="1"/>
    <col min="9746" max="9746" width="12.28515625" style="1207" customWidth="1"/>
    <col min="9747" max="9747" width="13.85546875" style="1207" customWidth="1"/>
    <col min="9748" max="9984" width="9" style="1207"/>
    <col min="9985" max="9985" width="4.140625" style="1207" customWidth="1"/>
    <col min="9986" max="9986" width="4.28515625" style="1207" customWidth="1"/>
    <col min="9987" max="9987" width="13.5703125" style="1207" customWidth="1"/>
    <col min="9988" max="9988" width="65" style="1207" customWidth="1"/>
    <col min="9989" max="9989" width="6.7109375" style="1207" customWidth="1"/>
    <col min="9990" max="9990" width="8.42578125" style="1207" customWidth="1"/>
    <col min="9991" max="9991" width="10" style="1207" customWidth="1"/>
    <col min="9992" max="9992" width="15.7109375" style="1207" customWidth="1"/>
    <col min="9993" max="9993" width="17.5703125" style="1207" customWidth="1"/>
    <col min="9994" max="9994" width="12.42578125" style="1207" customWidth="1"/>
    <col min="9995" max="9996" width="9" style="1207"/>
    <col min="9997" max="9998" width="12.7109375" style="1207" customWidth="1"/>
    <col min="9999" max="9999" width="10.85546875" style="1207" customWidth="1"/>
    <col min="10000" max="10000" width="17.28515625" style="1207" customWidth="1"/>
    <col min="10001" max="10001" width="15" style="1207" customWidth="1"/>
    <col min="10002" max="10002" width="12.28515625" style="1207" customWidth="1"/>
    <col min="10003" max="10003" width="13.85546875" style="1207" customWidth="1"/>
    <col min="10004" max="10240" width="9" style="1207"/>
    <col min="10241" max="10241" width="4.140625" style="1207" customWidth="1"/>
    <col min="10242" max="10242" width="4.28515625" style="1207" customWidth="1"/>
    <col min="10243" max="10243" width="13.5703125" style="1207" customWidth="1"/>
    <col min="10244" max="10244" width="65" style="1207" customWidth="1"/>
    <col min="10245" max="10245" width="6.7109375" style="1207" customWidth="1"/>
    <col min="10246" max="10246" width="8.42578125" style="1207" customWidth="1"/>
    <col min="10247" max="10247" width="10" style="1207" customWidth="1"/>
    <col min="10248" max="10248" width="15.7109375" style="1207" customWidth="1"/>
    <col min="10249" max="10249" width="17.5703125" style="1207" customWidth="1"/>
    <col min="10250" max="10250" width="12.42578125" style="1207" customWidth="1"/>
    <col min="10251" max="10252" width="9" style="1207"/>
    <col min="10253" max="10254" width="12.7109375" style="1207" customWidth="1"/>
    <col min="10255" max="10255" width="10.85546875" style="1207" customWidth="1"/>
    <col min="10256" max="10256" width="17.28515625" style="1207" customWidth="1"/>
    <col min="10257" max="10257" width="15" style="1207" customWidth="1"/>
    <col min="10258" max="10258" width="12.28515625" style="1207" customWidth="1"/>
    <col min="10259" max="10259" width="13.85546875" style="1207" customWidth="1"/>
    <col min="10260" max="10496" width="9" style="1207"/>
    <col min="10497" max="10497" width="4.140625" style="1207" customWidth="1"/>
    <col min="10498" max="10498" width="4.28515625" style="1207" customWidth="1"/>
    <col min="10499" max="10499" width="13.5703125" style="1207" customWidth="1"/>
    <col min="10500" max="10500" width="65" style="1207" customWidth="1"/>
    <col min="10501" max="10501" width="6.7109375" style="1207" customWidth="1"/>
    <col min="10502" max="10502" width="8.42578125" style="1207" customWidth="1"/>
    <col min="10503" max="10503" width="10" style="1207" customWidth="1"/>
    <col min="10504" max="10504" width="15.7109375" style="1207" customWidth="1"/>
    <col min="10505" max="10505" width="17.5703125" style="1207" customWidth="1"/>
    <col min="10506" max="10506" width="12.42578125" style="1207" customWidth="1"/>
    <col min="10507" max="10508" width="9" style="1207"/>
    <col min="10509" max="10510" width="12.7109375" style="1207" customWidth="1"/>
    <col min="10511" max="10511" width="10.85546875" style="1207" customWidth="1"/>
    <col min="10512" max="10512" width="17.28515625" style="1207" customWidth="1"/>
    <col min="10513" max="10513" width="15" style="1207" customWidth="1"/>
    <col min="10514" max="10514" width="12.28515625" style="1207" customWidth="1"/>
    <col min="10515" max="10515" width="13.85546875" style="1207" customWidth="1"/>
    <col min="10516" max="10752" width="9" style="1207"/>
    <col min="10753" max="10753" width="4.140625" style="1207" customWidth="1"/>
    <col min="10754" max="10754" width="4.28515625" style="1207" customWidth="1"/>
    <col min="10755" max="10755" width="13.5703125" style="1207" customWidth="1"/>
    <col min="10756" max="10756" width="65" style="1207" customWidth="1"/>
    <col min="10757" max="10757" width="6.7109375" style="1207" customWidth="1"/>
    <col min="10758" max="10758" width="8.42578125" style="1207" customWidth="1"/>
    <col min="10759" max="10759" width="10" style="1207" customWidth="1"/>
    <col min="10760" max="10760" width="15.7109375" style="1207" customWidth="1"/>
    <col min="10761" max="10761" width="17.5703125" style="1207" customWidth="1"/>
    <col min="10762" max="10762" width="12.42578125" style="1207" customWidth="1"/>
    <col min="10763" max="10764" width="9" style="1207"/>
    <col min="10765" max="10766" width="12.7109375" style="1207" customWidth="1"/>
    <col min="10767" max="10767" width="10.85546875" style="1207" customWidth="1"/>
    <col min="10768" max="10768" width="17.28515625" style="1207" customWidth="1"/>
    <col min="10769" max="10769" width="15" style="1207" customWidth="1"/>
    <col min="10770" max="10770" width="12.28515625" style="1207" customWidth="1"/>
    <col min="10771" max="10771" width="13.85546875" style="1207" customWidth="1"/>
    <col min="10772" max="11008" width="9" style="1207"/>
    <col min="11009" max="11009" width="4.140625" style="1207" customWidth="1"/>
    <col min="11010" max="11010" width="4.28515625" style="1207" customWidth="1"/>
    <col min="11011" max="11011" width="13.5703125" style="1207" customWidth="1"/>
    <col min="11012" max="11012" width="65" style="1207" customWidth="1"/>
    <col min="11013" max="11013" width="6.7109375" style="1207" customWidth="1"/>
    <col min="11014" max="11014" width="8.42578125" style="1207" customWidth="1"/>
    <col min="11015" max="11015" width="10" style="1207" customWidth="1"/>
    <col min="11016" max="11016" width="15.7109375" style="1207" customWidth="1"/>
    <col min="11017" max="11017" width="17.5703125" style="1207" customWidth="1"/>
    <col min="11018" max="11018" width="12.42578125" style="1207" customWidth="1"/>
    <col min="11019" max="11020" width="9" style="1207"/>
    <col min="11021" max="11022" width="12.7109375" style="1207" customWidth="1"/>
    <col min="11023" max="11023" width="10.85546875" style="1207" customWidth="1"/>
    <col min="11024" max="11024" width="17.28515625" style="1207" customWidth="1"/>
    <col min="11025" max="11025" width="15" style="1207" customWidth="1"/>
    <col min="11026" max="11026" width="12.28515625" style="1207" customWidth="1"/>
    <col min="11027" max="11027" width="13.85546875" style="1207" customWidth="1"/>
    <col min="11028" max="11264" width="9" style="1207"/>
    <col min="11265" max="11265" width="4.140625" style="1207" customWidth="1"/>
    <col min="11266" max="11266" width="4.28515625" style="1207" customWidth="1"/>
    <col min="11267" max="11267" width="13.5703125" style="1207" customWidth="1"/>
    <col min="11268" max="11268" width="65" style="1207" customWidth="1"/>
    <col min="11269" max="11269" width="6.7109375" style="1207" customWidth="1"/>
    <col min="11270" max="11270" width="8.42578125" style="1207" customWidth="1"/>
    <col min="11271" max="11271" width="10" style="1207" customWidth="1"/>
    <col min="11272" max="11272" width="15.7109375" style="1207" customWidth="1"/>
    <col min="11273" max="11273" width="17.5703125" style="1207" customWidth="1"/>
    <col min="11274" max="11274" width="12.42578125" style="1207" customWidth="1"/>
    <col min="11275" max="11276" width="9" style="1207"/>
    <col min="11277" max="11278" width="12.7109375" style="1207" customWidth="1"/>
    <col min="11279" max="11279" width="10.85546875" style="1207" customWidth="1"/>
    <col min="11280" max="11280" width="17.28515625" style="1207" customWidth="1"/>
    <col min="11281" max="11281" width="15" style="1207" customWidth="1"/>
    <col min="11282" max="11282" width="12.28515625" style="1207" customWidth="1"/>
    <col min="11283" max="11283" width="13.85546875" style="1207" customWidth="1"/>
    <col min="11284" max="11520" width="9" style="1207"/>
    <col min="11521" max="11521" width="4.140625" style="1207" customWidth="1"/>
    <col min="11522" max="11522" width="4.28515625" style="1207" customWidth="1"/>
    <col min="11523" max="11523" width="13.5703125" style="1207" customWidth="1"/>
    <col min="11524" max="11524" width="65" style="1207" customWidth="1"/>
    <col min="11525" max="11525" width="6.7109375" style="1207" customWidth="1"/>
    <col min="11526" max="11526" width="8.42578125" style="1207" customWidth="1"/>
    <col min="11527" max="11527" width="10" style="1207" customWidth="1"/>
    <col min="11528" max="11528" width="15.7109375" style="1207" customWidth="1"/>
    <col min="11529" max="11529" width="17.5703125" style="1207" customWidth="1"/>
    <col min="11530" max="11530" width="12.42578125" style="1207" customWidth="1"/>
    <col min="11531" max="11532" width="9" style="1207"/>
    <col min="11533" max="11534" width="12.7109375" style="1207" customWidth="1"/>
    <col min="11535" max="11535" width="10.85546875" style="1207" customWidth="1"/>
    <col min="11536" max="11536" width="17.28515625" style="1207" customWidth="1"/>
    <col min="11537" max="11537" width="15" style="1207" customWidth="1"/>
    <col min="11538" max="11538" width="12.28515625" style="1207" customWidth="1"/>
    <col min="11539" max="11539" width="13.85546875" style="1207" customWidth="1"/>
    <col min="11540" max="11776" width="9" style="1207"/>
    <col min="11777" max="11777" width="4.140625" style="1207" customWidth="1"/>
    <col min="11778" max="11778" width="4.28515625" style="1207" customWidth="1"/>
    <col min="11779" max="11779" width="13.5703125" style="1207" customWidth="1"/>
    <col min="11780" max="11780" width="65" style="1207" customWidth="1"/>
    <col min="11781" max="11781" width="6.7109375" style="1207" customWidth="1"/>
    <col min="11782" max="11782" width="8.42578125" style="1207" customWidth="1"/>
    <col min="11783" max="11783" width="10" style="1207" customWidth="1"/>
    <col min="11784" max="11784" width="15.7109375" style="1207" customWidth="1"/>
    <col min="11785" max="11785" width="17.5703125" style="1207" customWidth="1"/>
    <col min="11786" max="11786" width="12.42578125" style="1207" customWidth="1"/>
    <col min="11787" max="11788" width="9" style="1207"/>
    <col min="11789" max="11790" width="12.7109375" style="1207" customWidth="1"/>
    <col min="11791" max="11791" width="10.85546875" style="1207" customWidth="1"/>
    <col min="11792" max="11792" width="17.28515625" style="1207" customWidth="1"/>
    <col min="11793" max="11793" width="15" style="1207" customWidth="1"/>
    <col min="11794" max="11794" width="12.28515625" style="1207" customWidth="1"/>
    <col min="11795" max="11795" width="13.85546875" style="1207" customWidth="1"/>
    <col min="11796" max="12032" width="9" style="1207"/>
    <col min="12033" max="12033" width="4.140625" style="1207" customWidth="1"/>
    <col min="12034" max="12034" width="4.28515625" style="1207" customWidth="1"/>
    <col min="12035" max="12035" width="13.5703125" style="1207" customWidth="1"/>
    <col min="12036" max="12036" width="65" style="1207" customWidth="1"/>
    <col min="12037" max="12037" width="6.7109375" style="1207" customWidth="1"/>
    <col min="12038" max="12038" width="8.42578125" style="1207" customWidth="1"/>
    <col min="12039" max="12039" width="10" style="1207" customWidth="1"/>
    <col min="12040" max="12040" width="15.7109375" style="1207" customWidth="1"/>
    <col min="12041" max="12041" width="17.5703125" style="1207" customWidth="1"/>
    <col min="12042" max="12042" width="12.42578125" style="1207" customWidth="1"/>
    <col min="12043" max="12044" width="9" style="1207"/>
    <col min="12045" max="12046" width="12.7109375" style="1207" customWidth="1"/>
    <col min="12047" max="12047" width="10.85546875" style="1207" customWidth="1"/>
    <col min="12048" max="12048" width="17.28515625" style="1207" customWidth="1"/>
    <col min="12049" max="12049" width="15" style="1207" customWidth="1"/>
    <col min="12050" max="12050" width="12.28515625" style="1207" customWidth="1"/>
    <col min="12051" max="12051" width="13.85546875" style="1207" customWidth="1"/>
    <col min="12052" max="12288" width="9" style="1207"/>
    <col min="12289" max="12289" width="4.140625" style="1207" customWidth="1"/>
    <col min="12290" max="12290" width="4.28515625" style="1207" customWidth="1"/>
    <col min="12291" max="12291" width="13.5703125" style="1207" customWidth="1"/>
    <col min="12292" max="12292" width="65" style="1207" customWidth="1"/>
    <col min="12293" max="12293" width="6.7109375" style="1207" customWidth="1"/>
    <col min="12294" max="12294" width="8.42578125" style="1207" customWidth="1"/>
    <col min="12295" max="12295" width="10" style="1207" customWidth="1"/>
    <col min="12296" max="12296" width="15.7109375" style="1207" customWidth="1"/>
    <col min="12297" max="12297" width="17.5703125" style="1207" customWidth="1"/>
    <col min="12298" max="12298" width="12.42578125" style="1207" customWidth="1"/>
    <col min="12299" max="12300" width="9" style="1207"/>
    <col min="12301" max="12302" width="12.7109375" style="1207" customWidth="1"/>
    <col min="12303" max="12303" width="10.85546875" style="1207" customWidth="1"/>
    <col min="12304" max="12304" width="17.28515625" style="1207" customWidth="1"/>
    <col min="12305" max="12305" width="15" style="1207" customWidth="1"/>
    <col min="12306" max="12306" width="12.28515625" style="1207" customWidth="1"/>
    <col min="12307" max="12307" width="13.85546875" style="1207" customWidth="1"/>
    <col min="12308" max="12544" width="9" style="1207"/>
    <col min="12545" max="12545" width="4.140625" style="1207" customWidth="1"/>
    <col min="12546" max="12546" width="4.28515625" style="1207" customWidth="1"/>
    <col min="12547" max="12547" width="13.5703125" style="1207" customWidth="1"/>
    <col min="12548" max="12548" width="65" style="1207" customWidth="1"/>
    <col min="12549" max="12549" width="6.7109375" style="1207" customWidth="1"/>
    <col min="12550" max="12550" width="8.42578125" style="1207" customWidth="1"/>
    <col min="12551" max="12551" width="10" style="1207" customWidth="1"/>
    <col min="12552" max="12552" width="15.7109375" style="1207" customWidth="1"/>
    <col min="12553" max="12553" width="17.5703125" style="1207" customWidth="1"/>
    <col min="12554" max="12554" width="12.42578125" style="1207" customWidth="1"/>
    <col min="12555" max="12556" width="9" style="1207"/>
    <col min="12557" max="12558" width="12.7109375" style="1207" customWidth="1"/>
    <col min="12559" max="12559" width="10.85546875" style="1207" customWidth="1"/>
    <col min="12560" max="12560" width="17.28515625" style="1207" customWidth="1"/>
    <col min="12561" max="12561" width="15" style="1207" customWidth="1"/>
    <col min="12562" max="12562" width="12.28515625" style="1207" customWidth="1"/>
    <col min="12563" max="12563" width="13.85546875" style="1207" customWidth="1"/>
    <col min="12564" max="12800" width="9" style="1207"/>
    <col min="12801" max="12801" width="4.140625" style="1207" customWidth="1"/>
    <col min="12802" max="12802" width="4.28515625" style="1207" customWidth="1"/>
    <col min="12803" max="12803" width="13.5703125" style="1207" customWidth="1"/>
    <col min="12804" max="12804" width="65" style="1207" customWidth="1"/>
    <col min="12805" max="12805" width="6.7109375" style="1207" customWidth="1"/>
    <col min="12806" max="12806" width="8.42578125" style="1207" customWidth="1"/>
    <col min="12807" max="12807" width="10" style="1207" customWidth="1"/>
    <col min="12808" max="12808" width="15.7109375" style="1207" customWidth="1"/>
    <col min="12809" max="12809" width="17.5703125" style="1207" customWidth="1"/>
    <col min="12810" max="12810" width="12.42578125" style="1207" customWidth="1"/>
    <col min="12811" max="12812" width="9" style="1207"/>
    <col min="12813" max="12814" width="12.7109375" style="1207" customWidth="1"/>
    <col min="12815" max="12815" width="10.85546875" style="1207" customWidth="1"/>
    <col min="12816" max="12816" width="17.28515625" style="1207" customWidth="1"/>
    <col min="12817" max="12817" width="15" style="1207" customWidth="1"/>
    <col min="12818" max="12818" width="12.28515625" style="1207" customWidth="1"/>
    <col min="12819" max="12819" width="13.85546875" style="1207" customWidth="1"/>
    <col min="12820" max="13056" width="9" style="1207"/>
    <col min="13057" max="13057" width="4.140625" style="1207" customWidth="1"/>
    <col min="13058" max="13058" width="4.28515625" style="1207" customWidth="1"/>
    <col min="13059" max="13059" width="13.5703125" style="1207" customWidth="1"/>
    <col min="13060" max="13060" width="65" style="1207" customWidth="1"/>
    <col min="13061" max="13061" width="6.7109375" style="1207" customWidth="1"/>
    <col min="13062" max="13062" width="8.42578125" style="1207" customWidth="1"/>
    <col min="13063" max="13063" width="10" style="1207" customWidth="1"/>
    <col min="13064" max="13064" width="15.7109375" style="1207" customWidth="1"/>
    <col min="13065" max="13065" width="17.5703125" style="1207" customWidth="1"/>
    <col min="13066" max="13066" width="12.42578125" style="1207" customWidth="1"/>
    <col min="13067" max="13068" width="9" style="1207"/>
    <col min="13069" max="13070" width="12.7109375" style="1207" customWidth="1"/>
    <col min="13071" max="13071" width="10.85546875" style="1207" customWidth="1"/>
    <col min="13072" max="13072" width="17.28515625" style="1207" customWidth="1"/>
    <col min="13073" max="13073" width="15" style="1207" customWidth="1"/>
    <col min="13074" max="13074" width="12.28515625" style="1207" customWidth="1"/>
    <col min="13075" max="13075" width="13.85546875" style="1207" customWidth="1"/>
    <col min="13076" max="13312" width="9" style="1207"/>
    <col min="13313" max="13313" width="4.140625" style="1207" customWidth="1"/>
    <col min="13314" max="13314" width="4.28515625" style="1207" customWidth="1"/>
    <col min="13315" max="13315" width="13.5703125" style="1207" customWidth="1"/>
    <col min="13316" max="13316" width="65" style="1207" customWidth="1"/>
    <col min="13317" max="13317" width="6.7109375" style="1207" customWidth="1"/>
    <col min="13318" max="13318" width="8.42578125" style="1207" customWidth="1"/>
    <col min="13319" max="13319" width="10" style="1207" customWidth="1"/>
    <col min="13320" max="13320" width="15.7109375" style="1207" customWidth="1"/>
    <col min="13321" max="13321" width="17.5703125" style="1207" customWidth="1"/>
    <col min="13322" max="13322" width="12.42578125" style="1207" customWidth="1"/>
    <col min="13323" max="13324" width="9" style="1207"/>
    <col min="13325" max="13326" width="12.7109375" style="1207" customWidth="1"/>
    <col min="13327" max="13327" width="10.85546875" style="1207" customWidth="1"/>
    <col min="13328" max="13328" width="17.28515625" style="1207" customWidth="1"/>
    <col min="13329" max="13329" width="15" style="1207" customWidth="1"/>
    <col min="13330" max="13330" width="12.28515625" style="1207" customWidth="1"/>
    <col min="13331" max="13331" width="13.85546875" style="1207" customWidth="1"/>
    <col min="13332" max="13568" width="9" style="1207"/>
    <col min="13569" max="13569" width="4.140625" style="1207" customWidth="1"/>
    <col min="13570" max="13570" width="4.28515625" style="1207" customWidth="1"/>
    <col min="13571" max="13571" width="13.5703125" style="1207" customWidth="1"/>
    <col min="13572" max="13572" width="65" style="1207" customWidth="1"/>
    <col min="13573" max="13573" width="6.7109375" style="1207" customWidth="1"/>
    <col min="13574" max="13574" width="8.42578125" style="1207" customWidth="1"/>
    <col min="13575" max="13575" width="10" style="1207" customWidth="1"/>
    <col min="13576" max="13576" width="15.7109375" style="1207" customWidth="1"/>
    <col min="13577" max="13577" width="17.5703125" style="1207" customWidth="1"/>
    <col min="13578" max="13578" width="12.42578125" style="1207" customWidth="1"/>
    <col min="13579" max="13580" width="9" style="1207"/>
    <col min="13581" max="13582" width="12.7109375" style="1207" customWidth="1"/>
    <col min="13583" max="13583" width="10.85546875" style="1207" customWidth="1"/>
    <col min="13584" max="13584" width="17.28515625" style="1207" customWidth="1"/>
    <col min="13585" max="13585" width="15" style="1207" customWidth="1"/>
    <col min="13586" max="13586" width="12.28515625" style="1207" customWidth="1"/>
    <col min="13587" max="13587" width="13.85546875" style="1207" customWidth="1"/>
    <col min="13588" max="13824" width="9" style="1207"/>
    <col min="13825" max="13825" width="4.140625" style="1207" customWidth="1"/>
    <col min="13826" max="13826" width="4.28515625" style="1207" customWidth="1"/>
    <col min="13827" max="13827" width="13.5703125" style="1207" customWidth="1"/>
    <col min="13828" max="13828" width="65" style="1207" customWidth="1"/>
    <col min="13829" max="13829" width="6.7109375" style="1207" customWidth="1"/>
    <col min="13830" max="13830" width="8.42578125" style="1207" customWidth="1"/>
    <col min="13831" max="13831" width="10" style="1207" customWidth="1"/>
    <col min="13832" max="13832" width="15.7109375" style="1207" customWidth="1"/>
    <col min="13833" max="13833" width="17.5703125" style="1207" customWidth="1"/>
    <col min="13834" max="13834" width="12.42578125" style="1207" customWidth="1"/>
    <col min="13835" max="13836" width="9" style="1207"/>
    <col min="13837" max="13838" width="12.7109375" style="1207" customWidth="1"/>
    <col min="13839" max="13839" width="10.85546875" style="1207" customWidth="1"/>
    <col min="13840" max="13840" width="17.28515625" style="1207" customWidth="1"/>
    <col min="13841" max="13841" width="15" style="1207" customWidth="1"/>
    <col min="13842" max="13842" width="12.28515625" style="1207" customWidth="1"/>
    <col min="13843" max="13843" width="13.85546875" style="1207" customWidth="1"/>
    <col min="13844" max="14080" width="9" style="1207"/>
    <col min="14081" max="14081" width="4.140625" style="1207" customWidth="1"/>
    <col min="14082" max="14082" width="4.28515625" style="1207" customWidth="1"/>
    <col min="14083" max="14083" width="13.5703125" style="1207" customWidth="1"/>
    <col min="14084" max="14084" width="65" style="1207" customWidth="1"/>
    <col min="14085" max="14085" width="6.7109375" style="1207" customWidth="1"/>
    <col min="14086" max="14086" width="8.42578125" style="1207" customWidth="1"/>
    <col min="14087" max="14087" width="10" style="1207" customWidth="1"/>
    <col min="14088" max="14088" width="15.7109375" style="1207" customWidth="1"/>
    <col min="14089" max="14089" width="17.5703125" style="1207" customWidth="1"/>
    <col min="14090" max="14090" width="12.42578125" style="1207" customWidth="1"/>
    <col min="14091" max="14092" width="9" style="1207"/>
    <col min="14093" max="14094" width="12.7109375" style="1207" customWidth="1"/>
    <col min="14095" max="14095" width="10.85546875" style="1207" customWidth="1"/>
    <col min="14096" max="14096" width="17.28515625" style="1207" customWidth="1"/>
    <col min="14097" max="14097" width="15" style="1207" customWidth="1"/>
    <col min="14098" max="14098" width="12.28515625" style="1207" customWidth="1"/>
    <col min="14099" max="14099" width="13.85546875" style="1207" customWidth="1"/>
    <col min="14100" max="14336" width="9" style="1207"/>
    <col min="14337" max="14337" width="4.140625" style="1207" customWidth="1"/>
    <col min="14338" max="14338" width="4.28515625" style="1207" customWidth="1"/>
    <col min="14339" max="14339" width="13.5703125" style="1207" customWidth="1"/>
    <col min="14340" max="14340" width="65" style="1207" customWidth="1"/>
    <col min="14341" max="14341" width="6.7109375" style="1207" customWidth="1"/>
    <col min="14342" max="14342" width="8.42578125" style="1207" customWidth="1"/>
    <col min="14343" max="14343" width="10" style="1207" customWidth="1"/>
    <col min="14344" max="14344" width="15.7109375" style="1207" customWidth="1"/>
    <col min="14345" max="14345" width="17.5703125" style="1207" customWidth="1"/>
    <col min="14346" max="14346" width="12.42578125" style="1207" customWidth="1"/>
    <col min="14347" max="14348" width="9" style="1207"/>
    <col min="14349" max="14350" width="12.7109375" style="1207" customWidth="1"/>
    <col min="14351" max="14351" width="10.85546875" style="1207" customWidth="1"/>
    <col min="14352" max="14352" width="17.28515625" style="1207" customWidth="1"/>
    <col min="14353" max="14353" width="15" style="1207" customWidth="1"/>
    <col min="14354" max="14354" width="12.28515625" style="1207" customWidth="1"/>
    <col min="14355" max="14355" width="13.85546875" style="1207" customWidth="1"/>
    <col min="14356" max="14592" width="9" style="1207"/>
    <col min="14593" max="14593" width="4.140625" style="1207" customWidth="1"/>
    <col min="14594" max="14594" width="4.28515625" style="1207" customWidth="1"/>
    <col min="14595" max="14595" width="13.5703125" style="1207" customWidth="1"/>
    <col min="14596" max="14596" width="65" style="1207" customWidth="1"/>
    <col min="14597" max="14597" width="6.7109375" style="1207" customWidth="1"/>
    <col min="14598" max="14598" width="8.42578125" style="1207" customWidth="1"/>
    <col min="14599" max="14599" width="10" style="1207" customWidth="1"/>
    <col min="14600" max="14600" width="15.7109375" style="1207" customWidth="1"/>
    <col min="14601" max="14601" width="17.5703125" style="1207" customWidth="1"/>
    <col min="14602" max="14602" width="12.42578125" style="1207" customWidth="1"/>
    <col min="14603" max="14604" width="9" style="1207"/>
    <col min="14605" max="14606" width="12.7109375" style="1207" customWidth="1"/>
    <col min="14607" max="14607" width="10.85546875" style="1207" customWidth="1"/>
    <col min="14608" max="14608" width="17.28515625" style="1207" customWidth="1"/>
    <col min="14609" max="14609" width="15" style="1207" customWidth="1"/>
    <col min="14610" max="14610" width="12.28515625" style="1207" customWidth="1"/>
    <col min="14611" max="14611" width="13.85546875" style="1207" customWidth="1"/>
    <col min="14612" max="14848" width="9" style="1207"/>
    <col min="14849" max="14849" width="4.140625" style="1207" customWidth="1"/>
    <col min="14850" max="14850" width="4.28515625" style="1207" customWidth="1"/>
    <col min="14851" max="14851" width="13.5703125" style="1207" customWidth="1"/>
    <col min="14852" max="14852" width="65" style="1207" customWidth="1"/>
    <col min="14853" max="14853" width="6.7109375" style="1207" customWidth="1"/>
    <col min="14854" max="14854" width="8.42578125" style="1207" customWidth="1"/>
    <col min="14855" max="14855" width="10" style="1207" customWidth="1"/>
    <col min="14856" max="14856" width="15.7109375" style="1207" customWidth="1"/>
    <col min="14857" max="14857" width="17.5703125" style="1207" customWidth="1"/>
    <col min="14858" max="14858" width="12.42578125" style="1207" customWidth="1"/>
    <col min="14859" max="14860" width="9" style="1207"/>
    <col min="14861" max="14862" width="12.7109375" style="1207" customWidth="1"/>
    <col min="14863" max="14863" width="10.85546875" style="1207" customWidth="1"/>
    <col min="14864" max="14864" width="17.28515625" style="1207" customWidth="1"/>
    <col min="14865" max="14865" width="15" style="1207" customWidth="1"/>
    <col min="14866" max="14866" width="12.28515625" style="1207" customWidth="1"/>
    <col min="14867" max="14867" width="13.85546875" style="1207" customWidth="1"/>
    <col min="14868" max="15104" width="9" style="1207"/>
    <col min="15105" max="15105" width="4.140625" style="1207" customWidth="1"/>
    <col min="15106" max="15106" width="4.28515625" style="1207" customWidth="1"/>
    <col min="15107" max="15107" width="13.5703125" style="1207" customWidth="1"/>
    <col min="15108" max="15108" width="65" style="1207" customWidth="1"/>
    <col min="15109" max="15109" width="6.7109375" style="1207" customWidth="1"/>
    <col min="15110" max="15110" width="8.42578125" style="1207" customWidth="1"/>
    <col min="15111" max="15111" width="10" style="1207" customWidth="1"/>
    <col min="15112" max="15112" width="15.7109375" style="1207" customWidth="1"/>
    <col min="15113" max="15113" width="17.5703125" style="1207" customWidth="1"/>
    <col min="15114" max="15114" width="12.42578125" style="1207" customWidth="1"/>
    <col min="15115" max="15116" width="9" style="1207"/>
    <col min="15117" max="15118" width="12.7109375" style="1207" customWidth="1"/>
    <col min="15119" max="15119" width="10.85546875" style="1207" customWidth="1"/>
    <col min="15120" max="15120" width="17.28515625" style="1207" customWidth="1"/>
    <col min="15121" max="15121" width="15" style="1207" customWidth="1"/>
    <col min="15122" max="15122" width="12.28515625" style="1207" customWidth="1"/>
    <col min="15123" max="15123" width="13.85546875" style="1207" customWidth="1"/>
    <col min="15124" max="15360" width="9" style="1207"/>
    <col min="15361" max="15361" width="4.140625" style="1207" customWidth="1"/>
    <col min="15362" max="15362" width="4.28515625" style="1207" customWidth="1"/>
    <col min="15363" max="15363" width="13.5703125" style="1207" customWidth="1"/>
    <col min="15364" max="15364" width="65" style="1207" customWidth="1"/>
    <col min="15365" max="15365" width="6.7109375" style="1207" customWidth="1"/>
    <col min="15366" max="15366" width="8.42578125" style="1207" customWidth="1"/>
    <col min="15367" max="15367" width="10" style="1207" customWidth="1"/>
    <col min="15368" max="15368" width="15.7109375" style="1207" customWidth="1"/>
    <col min="15369" max="15369" width="17.5703125" style="1207" customWidth="1"/>
    <col min="15370" max="15370" width="12.42578125" style="1207" customWidth="1"/>
    <col min="15371" max="15372" width="9" style="1207"/>
    <col min="15373" max="15374" width="12.7109375" style="1207" customWidth="1"/>
    <col min="15375" max="15375" width="10.85546875" style="1207" customWidth="1"/>
    <col min="15376" max="15376" width="17.28515625" style="1207" customWidth="1"/>
    <col min="15377" max="15377" width="15" style="1207" customWidth="1"/>
    <col min="15378" max="15378" width="12.28515625" style="1207" customWidth="1"/>
    <col min="15379" max="15379" width="13.85546875" style="1207" customWidth="1"/>
    <col min="15380" max="15616" width="9" style="1207"/>
    <col min="15617" max="15617" width="4.140625" style="1207" customWidth="1"/>
    <col min="15618" max="15618" width="4.28515625" style="1207" customWidth="1"/>
    <col min="15619" max="15619" width="13.5703125" style="1207" customWidth="1"/>
    <col min="15620" max="15620" width="65" style="1207" customWidth="1"/>
    <col min="15621" max="15621" width="6.7109375" style="1207" customWidth="1"/>
    <col min="15622" max="15622" width="8.42578125" style="1207" customWidth="1"/>
    <col min="15623" max="15623" width="10" style="1207" customWidth="1"/>
    <col min="15624" max="15624" width="15.7109375" style="1207" customWidth="1"/>
    <col min="15625" max="15625" width="17.5703125" style="1207" customWidth="1"/>
    <col min="15626" max="15626" width="12.42578125" style="1207" customWidth="1"/>
    <col min="15627" max="15628" width="9" style="1207"/>
    <col min="15629" max="15630" width="12.7109375" style="1207" customWidth="1"/>
    <col min="15631" max="15631" width="10.85546875" style="1207" customWidth="1"/>
    <col min="15632" max="15632" width="17.28515625" style="1207" customWidth="1"/>
    <col min="15633" max="15633" width="15" style="1207" customWidth="1"/>
    <col min="15634" max="15634" width="12.28515625" style="1207" customWidth="1"/>
    <col min="15635" max="15635" width="13.85546875" style="1207" customWidth="1"/>
    <col min="15636" max="15872" width="9" style="1207"/>
    <col min="15873" max="15873" width="4.140625" style="1207" customWidth="1"/>
    <col min="15874" max="15874" width="4.28515625" style="1207" customWidth="1"/>
    <col min="15875" max="15875" width="13.5703125" style="1207" customWidth="1"/>
    <col min="15876" max="15876" width="65" style="1207" customWidth="1"/>
    <col min="15877" max="15877" width="6.7109375" style="1207" customWidth="1"/>
    <col min="15878" max="15878" width="8.42578125" style="1207" customWidth="1"/>
    <col min="15879" max="15879" width="10" style="1207" customWidth="1"/>
    <col min="15880" max="15880" width="15.7109375" style="1207" customWidth="1"/>
    <col min="15881" max="15881" width="17.5703125" style="1207" customWidth="1"/>
    <col min="15882" max="15882" width="12.42578125" style="1207" customWidth="1"/>
    <col min="15883" max="15884" width="9" style="1207"/>
    <col min="15885" max="15886" width="12.7109375" style="1207" customWidth="1"/>
    <col min="15887" max="15887" width="10.85546875" style="1207" customWidth="1"/>
    <col min="15888" max="15888" width="17.28515625" style="1207" customWidth="1"/>
    <col min="15889" max="15889" width="15" style="1207" customWidth="1"/>
    <col min="15890" max="15890" width="12.28515625" style="1207" customWidth="1"/>
    <col min="15891" max="15891" width="13.85546875" style="1207" customWidth="1"/>
    <col min="15892" max="16128" width="9" style="1207"/>
    <col min="16129" max="16129" width="4.140625" style="1207" customWidth="1"/>
    <col min="16130" max="16130" width="4.28515625" style="1207" customWidth="1"/>
    <col min="16131" max="16131" width="13.5703125" style="1207" customWidth="1"/>
    <col min="16132" max="16132" width="65" style="1207" customWidth="1"/>
    <col min="16133" max="16133" width="6.7109375" style="1207" customWidth="1"/>
    <col min="16134" max="16134" width="8.42578125" style="1207" customWidth="1"/>
    <col min="16135" max="16135" width="10" style="1207" customWidth="1"/>
    <col min="16136" max="16136" width="15.7109375" style="1207" customWidth="1"/>
    <col min="16137" max="16137" width="17.5703125" style="1207" customWidth="1"/>
    <col min="16138" max="16138" width="12.42578125" style="1207" customWidth="1"/>
    <col min="16139" max="16140" width="9" style="1207"/>
    <col min="16141" max="16142" width="12.7109375" style="1207" customWidth="1"/>
    <col min="16143" max="16143" width="10.85546875" style="1207" customWidth="1"/>
    <col min="16144" max="16144" width="17.28515625" style="1207" customWidth="1"/>
    <col min="16145" max="16145" width="15" style="1207" customWidth="1"/>
    <col min="16146" max="16146" width="12.28515625" style="1207" customWidth="1"/>
    <col min="16147" max="16147" width="13.85546875" style="1207" customWidth="1"/>
    <col min="16148" max="16384" width="9" style="1207"/>
  </cols>
  <sheetData>
    <row r="1" spans="1:150" s="29" customFormat="1" ht="20.25" customHeight="1">
      <c r="A1" s="119" t="s">
        <v>839</v>
      </c>
      <c r="B1" s="25"/>
      <c r="C1" s="25"/>
      <c r="D1" s="25"/>
      <c r="E1" s="25"/>
      <c r="F1" s="25"/>
      <c r="G1" s="25"/>
      <c r="H1" s="25"/>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c r="EO1" s="26"/>
      <c r="EP1" s="26"/>
      <c r="EQ1" s="26"/>
      <c r="ER1" s="26"/>
      <c r="ES1" s="26"/>
      <c r="ET1" s="26"/>
    </row>
    <row r="2" spans="1:150" s="314" customFormat="1" ht="13.5" customHeight="1">
      <c r="A2" s="142" t="s">
        <v>731</v>
      </c>
      <c r="B2" s="315"/>
      <c r="C2" s="315"/>
      <c r="D2" s="315"/>
      <c r="E2" s="23"/>
      <c r="F2" s="23"/>
      <c r="G2" s="22"/>
      <c r="H2" s="22"/>
      <c r="I2" s="313"/>
      <c r="J2" s="1127"/>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c r="AS2" s="313"/>
      <c r="AT2" s="313"/>
      <c r="AU2" s="313"/>
      <c r="AV2" s="313"/>
      <c r="AW2" s="313"/>
      <c r="AX2" s="313"/>
      <c r="AY2" s="313"/>
      <c r="AZ2" s="313"/>
      <c r="BA2" s="313"/>
      <c r="BB2" s="313"/>
      <c r="BC2" s="313"/>
      <c r="BD2" s="313"/>
      <c r="BE2" s="313"/>
      <c r="BF2" s="313"/>
      <c r="BG2" s="313"/>
      <c r="BH2" s="313"/>
      <c r="BI2" s="313"/>
      <c r="BJ2" s="313"/>
      <c r="BK2" s="313"/>
      <c r="BL2" s="313"/>
      <c r="BM2" s="313"/>
      <c r="BN2" s="313"/>
      <c r="BO2" s="313"/>
      <c r="BP2" s="313"/>
      <c r="BQ2" s="313"/>
      <c r="BR2" s="313"/>
      <c r="BS2" s="313"/>
      <c r="BT2" s="313"/>
      <c r="BU2" s="313"/>
      <c r="BV2" s="313"/>
      <c r="BW2" s="313"/>
      <c r="BX2" s="313"/>
      <c r="BY2" s="313"/>
      <c r="BZ2" s="313"/>
      <c r="CA2" s="313"/>
      <c r="CB2" s="313"/>
      <c r="CC2" s="313"/>
      <c r="CD2" s="313"/>
      <c r="CE2" s="313"/>
      <c r="CF2" s="313"/>
      <c r="CG2" s="313"/>
      <c r="CH2" s="313"/>
      <c r="CI2" s="313"/>
      <c r="CJ2" s="313"/>
      <c r="CK2" s="313"/>
      <c r="CL2" s="313"/>
      <c r="CM2" s="313"/>
      <c r="CN2" s="313"/>
      <c r="CO2" s="313"/>
      <c r="CP2" s="313"/>
      <c r="CQ2" s="313"/>
      <c r="CR2" s="313"/>
      <c r="CS2" s="313"/>
      <c r="CT2" s="313"/>
      <c r="CU2" s="313"/>
      <c r="CV2" s="313"/>
      <c r="CW2" s="313"/>
      <c r="CX2" s="313"/>
      <c r="CY2" s="313"/>
      <c r="CZ2" s="313"/>
      <c r="DA2" s="313"/>
      <c r="DB2" s="313"/>
      <c r="DC2" s="313"/>
      <c r="DD2" s="313"/>
      <c r="DE2" s="313"/>
      <c r="DF2" s="313"/>
      <c r="DG2" s="313"/>
      <c r="DH2" s="313"/>
      <c r="DI2" s="313"/>
      <c r="DJ2" s="313"/>
      <c r="DK2" s="313"/>
      <c r="DL2" s="313"/>
      <c r="DM2" s="313"/>
      <c r="DN2" s="313"/>
      <c r="DO2" s="313"/>
      <c r="DP2" s="313"/>
      <c r="DQ2" s="313"/>
      <c r="DR2" s="313"/>
      <c r="DS2" s="313"/>
      <c r="DT2" s="313"/>
      <c r="DU2" s="313"/>
      <c r="DV2" s="313"/>
      <c r="DW2" s="313"/>
      <c r="DX2" s="313"/>
      <c r="DY2" s="313"/>
      <c r="DZ2" s="313"/>
      <c r="EA2" s="313"/>
      <c r="EB2" s="313"/>
      <c r="EC2" s="313"/>
      <c r="ED2" s="313"/>
      <c r="EE2" s="313"/>
      <c r="EF2" s="313"/>
      <c r="EG2" s="313"/>
      <c r="EH2" s="313"/>
      <c r="EI2" s="313"/>
      <c r="EJ2" s="313"/>
      <c r="EK2" s="313"/>
      <c r="EL2" s="313"/>
      <c r="EM2" s="313"/>
      <c r="EN2" s="313"/>
      <c r="EO2" s="313"/>
      <c r="EP2" s="313"/>
      <c r="EQ2" s="313"/>
      <c r="ER2" s="313"/>
      <c r="ES2" s="313"/>
      <c r="ET2" s="313"/>
    </row>
    <row r="3" spans="1:150" s="1128" customFormat="1" ht="13.5" customHeight="1">
      <c r="A3" s="142" t="s">
        <v>678</v>
      </c>
      <c r="B3" s="145"/>
      <c r="C3" s="145"/>
      <c r="D3" s="145"/>
      <c r="J3" s="1129"/>
      <c r="K3" s="1130"/>
      <c r="L3" s="1130"/>
      <c r="M3" s="1130"/>
      <c r="N3" s="1130"/>
      <c r="O3" s="1130"/>
      <c r="P3" s="1130"/>
      <c r="Q3" s="1130"/>
      <c r="R3" s="1130"/>
      <c r="S3" s="1130"/>
      <c r="T3" s="1130"/>
      <c r="U3" s="1130"/>
      <c r="V3" s="1130"/>
      <c r="W3" s="1130"/>
      <c r="X3" s="1130"/>
      <c r="Y3" s="1130"/>
      <c r="Z3" s="1130"/>
      <c r="AA3" s="1130"/>
      <c r="AB3" s="1130"/>
      <c r="AC3" s="1130"/>
      <c r="AD3" s="1130"/>
      <c r="AE3" s="1130"/>
      <c r="AF3" s="1130"/>
      <c r="AG3" s="1130"/>
      <c r="AH3" s="1130"/>
      <c r="AI3" s="1130"/>
      <c r="AJ3" s="1130"/>
      <c r="AK3" s="1130"/>
      <c r="AL3" s="1130"/>
      <c r="AM3" s="1130"/>
      <c r="AN3" s="1130"/>
      <c r="AO3" s="1130"/>
      <c r="AP3" s="1130"/>
      <c r="AQ3" s="1130"/>
      <c r="AR3" s="1130"/>
      <c r="AS3" s="1130"/>
      <c r="AT3" s="1130"/>
      <c r="AU3" s="1130"/>
      <c r="AV3" s="1130"/>
      <c r="AW3" s="1130"/>
      <c r="AX3" s="1130"/>
      <c r="AY3" s="1130"/>
      <c r="AZ3" s="1130"/>
      <c r="BA3" s="1130"/>
      <c r="BB3" s="1130"/>
      <c r="BC3" s="1130"/>
      <c r="BD3" s="1130"/>
      <c r="BE3" s="1130"/>
      <c r="BF3" s="1130"/>
      <c r="BG3" s="1130"/>
      <c r="BH3" s="1130"/>
      <c r="BI3" s="1130"/>
      <c r="BJ3" s="1130"/>
      <c r="BK3" s="1130"/>
      <c r="BL3" s="1130"/>
      <c r="BM3" s="1130"/>
      <c r="BN3" s="1130"/>
      <c r="BO3" s="1130"/>
      <c r="BP3" s="1130"/>
      <c r="BQ3" s="1130"/>
      <c r="BR3" s="1130"/>
      <c r="BS3" s="1130"/>
      <c r="BT3" s="1130"/>
      <c r="BU3" s="1130"/>
      <c r="BV3" s="1130"/>
      <c r="BW3" s="1130"/>
      <c r="BX3" s="1130"/>
      <c r="BY3" s="1130"/>
      <c r="BZ3" s="1130"/>
      <c r="CA3" s="1130"/>
      <c r="CB3" s="1130"/>
      <c r="CC3" s="1130"/>
      <c r="CD3" s="1130"/>
      <c r="CE3" s="1130"/>
      <c r="CF3" s="1130"/>
      <c r="CG3" s="1130"/>
      <c r="CH3" s="1130"/>
      <c r="CI3" s="1130"/>
      <c r="CJ3" s="1130"/>
      <c r="CK3" s="1130"/>
      <c r="CL3" s="1130"/>
      <c r="CM3" s="1130"/>
      <c r="CN3" s="1130"/>
      <c r="CO3" s="1130"/>
      <c r="CP3" s="1130"/>
      <c r="CQ3" s="1130"/>
      <c r="CR3" s="1130"/>
      <c r="CS3" s="1130"/>
      <c r="CT3" s="1130"/>
      <c r="CU3" s="1130"/>
      <c r="CV3" s="1130"/>
      <c r="CW3" s="1130"/>
      <c r="CX3" s="1130"/>
      <c r="CY3" s="1130"/>
      <c r="CZ3" s="1130"/>
      <c r="DA3" s="1130"/>
      <c r="DB3" s="1130"/>
      <c r="DC3" s="1130"/>
      <c r="DD3" s="1130"/>
      <c r="DE3" s="1130"/>
      <c r="DF3" s="1130"/>
      <c r="DG3" s="1130"/>
      <c r="DH3" s="1130"/>
      <c r="DI3" s="1130"/>
      <c r="DJ3" s="1130"/>
      <c r="DK3" s="1130"/>
      <c r="DL3" s="1130"/>
      <c r="DM3" s="1130"/>
      <c r="DN3" s="1130"/>
      <c r="DO3" s="1130"/>
      <c r="DP3" s="1130"/>
      <c r="DQ3" s="1130"/>
      <c r="DR3" s="1130"/>
      <c r="DS3" s="1130"/>
      <c r="DT3" s="1130"/>
      <c r="DU3" s="1130"/>
      <c r="DV3" s="1130"/>
      <c r="DW3" s="1130"/>
      <c r="DX3" s="1130"/>
      <c r="DY3" s="1130"/>
      <c r="DZ3" s="1130"/>
      <c r="EA3" s="1130"/>
      <c r="EB3" s="1130"/>
      <c r="EC3" s="1130"/>
      <c r="ED3" s="1130"/>
      <c r="EE3" s="1130"/>
      <c r="EF3" s="1130"/>
      <c r="EG3" s="1130"/>
      <c r="EH3" s="1130"/>
      <c r="EI3" s="1130"/>
      <c r="EJ3" s="1130"/>
      <c r="EK3" s="1130"/>
      <c r="EL3" s="1130"/>
      <c r="EM3" s="1130"/>
      <c r="EN3" s="1130"/>
      <c r="EO3" s="1130"/>
      <c r="EP3" s="1130"/>
      <c r="EQ3" s="1130"/>
      <c r="ER3" s="1130"/>
      <c r="ES3" s="1130"/>
      <c r="ET3" s="1130"/>
    </row>
    <row r="4" spans="1:150" s="314" customFormat="1" ht="12.75" customHeight="1">
      <c r="A4" s="27" t="s">
        <v>91</v>
      </c>
      <c r="B4" s="316"/>
      <c r="C4" s="316"/>
      <c r="D4" s="316"/>
      <c r="E4" s="23"/>
      <c r="F4" s="23"/>
      <c r="G4" s="22"/>
      <c r="H4" s="22"/>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c r="AQ4" s="313"/>
      <c r="AR4" s="313"/>
      <c r="AS4" s="313"/>
      <c r="AT4" s="313"/>
      <c r="AU4" s="313"/>
      <c r="AV4" s="313"/>
      <c r="AW4" s="313"/>
      <c r="AX4" s="313"/>
      <c r="AY4" s="313"/>
      <c r="AZ4" s="313"/>
      <c r="BA4" s="313"/>
      <c r="BB4" s="313"/>
      <c r="BC4" s="313"/>
      <c r="BD4" s="313"/>
      <c r="BE4" s="313"/>
      <c r="BF4" s="313"/>
      <c r="BG4" s="313"/>
      <c r="BH4" s="313"/>
      <c r="BI4" s="313"/>
      <c r="BJ4" s="313"/>
      <c r="BK4" s="313"/>
      <c r="BL4" s="313"/>
      <c r="BM4" s="313"/>
      <c r="BN4" s="313"/>
      <c r="BO4" s="313"/>
      <c r="BP4" s="313"/>
      <c r="BQ4" s="313"/>
      <c r="BR4" s="313"/>
      <c r="BS4" s="313"/>
      <c r="BT4" s="313"/>
      <c r="BU4" s="313"/>
      <c r="BV4" s="313"/>
      <c r="BW4" s="313"/>
      <c r="BX4" s="313"/>
      <c r="BY4" s="313"/>
      <c r="BZ4" s="313"/>
      <c r="CA4" s="313"/>
      <c r="CB4" s="313"/>
      <c r="CC4" s="313"/>
      <c r="CD4" s="313"/>
      <c r="CE4" s="313"/>
      <c r="CF4" s="313"/>
      <c r="CG4" s="313"/>
      <c r="CH4" s="313"/>
      <c r="CI4" s="313"/>
      <c r="CJ4" s="313"/>
      <c r="CK4" s="313"/>
      <c r="CL4" s="313"/>
      <c r="CM4" s="313"/>
      <c r="CN4" s="313"/>
      <c r="CO4" s="313"/>
      <c r="CP4" s="313"/>
      <c r="CQ4" s="313"/>
      <c r="CR4" s="313"/>
      <c r="CS4" s="313"/>
      <c r="CT4" s="313"/>
      <c r="CU4" s="313"/>
      <c r="CV4" s="313"/>
      <c r="CW4" s="313"/>
      <c r="CX4" s="313"/>
      <c r="CY4" s="313"/>
      <c r="CZ4" s="313"/>
      <c r="DA4" s="313"/>
      <c r="DB4" s="313"/>
      <c r="DC4" s="313"/>
      <c r="DD4" s="313"/>
      <c r="DE4" s="313"/>
      <c r="DF4" s="313"/>
      <c r="DG4" s="313"/>
      <c r="DH4" s="313"/>
      <c r="DI4" s="313"/>
      <c r="DJ4" s="313"/>
      <c r="DK4" s="313"/>
      <c r="DL4" s="313"/>
      <c r="DM4" s="313"/>
      <c r="DN4" s="313"/>
      <c r="DO4" s="313"/>
      <c r="DP4" s="313"/>
      <c r="DQ4" s="313"/>
      <c r="DR4" s="313"/>
      <c r="DS4" s="313"/>
      <c r="DT4" s="313"/>
      <c r="DU4" s="313"/>
      <c r="DV4" s="313"/>
      <c r="DW4" s="313"/>
      <c r="DX4" s="313"/>
      <c r="DY4" s="313"/>
      <c r="DZ4" s="313"/>
      <c r="EA4" s="313"/>
      <c r="EB4" s="313"/>
      <c r="EC4" s="313"/>
      <c r="ED4" s="313"/>
      <c r="EE4" s="313"/>
      <c r="EF4" s="313"/>
      <c r="EG4" s="313"/>
      <c r="EH4" s="313"/>
      <c r="EI4" s="313"/>
      <c r="EJ4" s="313"/>
      <c r="EK4" s="313"/>
      <c r="EL4" s="313"/>
      <c r="EM4" s="313"/>
      <c r="EN4" s="313"/>
      <c r="EO4" s="313"/>
      <c r="EP4" s="313"/>
      <c r="EQ4" s="313"/>
      <c r="ER4" s="313"/>
      <c r="ES4" s="313"/>
      <c r="ET4" s="313"/>
    </row>
    <row r="5" spans="1:150" s="29" customFormat="1" ht="12.75" customHeight="1">
      <c r="A5" s="28" t="s">
        <v>92</v>
      </c>
      <c r="B5" s="28"/>
      <c r="C5" s="28"/>
      <c r="D5" s="1131"/>
      <c r="E5" s="28"/>
      <c r="F5" s="28"/>
      <c r="G5" s="25"/>
      <c r="H5" s="25"/>
      <c r="J5" s="313"/>
      <c r="K5" s="1132"/>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row>
    <row r="6" spans="1:150" s="29" customFormat="1" ht="12.75" customHeight="1">
      <c r="A6" s="28"/>
      <c r="B6" s="28"/>
      <c r="C6" s="28"/>
      <c r="D6" s="1133"/>
      <c r="E6" s="28"/>
      <c r="F6" s="28"/>
      <c r="G6" s="25"/>
      <c r="H6" s="25"/>
      <c r="I6" s="26"/>
      <c r="J6" s="26"/>
      <c r="K6" s="1132"/>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row>
    <row r="7" spans="1:150" s="29" customFormat="1" ht="24.75" customHeight="1">
      <c r="A7" s="30" t="s">
        <v>71</v>
      </c>
      <c r="B7" s="30" t="s">
        <v>72</v>
      </c>
      <c r="C7" s="30" t="s">
        <v>73</v>
      </c>
      <c r="D7" s="30" t="s">
        <v>74</v>
      </c>
      <c r="E7" s="30" t="s">
        <v>75</v>
      </c>
      <c r="F7" s="30" t="s">
        <v>76</v>
      </c>
      <c r="G7" s="30" t="s">
        <v>77</v>
      </c>
      <c r="H7" s="30" t="s">
        <v>16</v>
      </c>
      <c r="I7" s="30" t="s">
        <v>30</v>
      </c>
      <c r="J7" s="1134"/>
      <c r="K7" s="1132"/>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row>
    <row r="8" spans="1:150" s="29" customFormat="1" ht="12.75" customHeight="1">
      <c r="A8" s="30" t="s">
        <v>78</v>
      </c>
      <c r="B8" s="30" t="s">
        <v>79</v>
      </c>
      <c r="C8" s="30" t="s">
        <v>80</v>
      </c>
      <c r="D8" s="30" t="s">
        <v>81</v>
      </c>
      <c r="E8" s="30" t="s">
        <v>82</v>
      </c>
      <c r="F8" s="30" t="s">
        <v>83</v>
      </c>
      <c r="G8" s="30" t="s">
        <v>84</v>
      </c>
      <c r="H8" s="30">
        <v>8</v>
      </c>
      <c r="I8" s="30">
        <v>9</v>
      </c>
      <c r="J8" s="1135"/>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row>
    <row r="9" spans="1:150" s="29" customFormat="1" ht="21" customHeight="1">
      <c r="A9" s="31"/>
      <c r="B9" s="32"/>
      <c r="C9" s="32" t="s">
        <v>93</v>
      </c>
      <c r="D9" s="32" t="s">
        <v>94</v>
      </c>
      <c r="E9" s="32"/>
      <c r="F9" s="33"/>
      <c r="G9" s="82"/>
      <c r="H9" s="82">
        <f>H10+H107+H121+H160</f>
        <v>0</v>
      </c>
      <c r="I9" s="26"/>
      <c r="J9" s="1135"/>
      <c r="K9" s="56"/>
      <c r="L9" s="26"/>
      <c r="M9" s="1136"/>
      <c r="N9" s="113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row>
    <row r="10" spans="1:150" s="314" customFormat="1" ht="13.5" customHeight="1">
      <c r="A10" s="323"/>
      <c r="B10" s="324"/>
      <c r="C10" s="324">
        <v>1</v>
      </c>
      <c r="D10" s="324" t="s">
        <v>95</v>
      </c>
      <c r="E10" s="324"/>
      <c r="F10" s="325"/>
      <c r="G10" s="326"/>
      <c r="H10" s="326">
        <f>SUM(H11:H100)</f>
        <v>0</v>
      </c>
      <c r="I10" s="327"/>
      <c r="J10" s="328"/>
      <c r="K10" s="328"/>
      <c r="L10" s="328"/>
      <c r="M10" s="328"/>
      <c r="N10" s="328"/>
      <c r="O10" s="328"/>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3"/>
      <c r="CS10" s="313"/>
      <c r="CT10" s="313"/>
      <c r="CU10" s="313"/>
      <c r="CV10" s="313"/>
      <c r="CW10" s="313"/>
      <c r="CX10" s="313"/>
      <c r="CY10" s="313"/>
      <c r="CZ10" s="313"/>
      <c r="DA10" s="313"/>
      <c r="DB10" s="313"/>
      <c r="DC10" s="313"/>
      <c r="DD10" s="313"/>
      <c r="DE10" s="313"/>
      <c r="DF10" s="313"/>
      <c r="DG10" s="313"/>
      <c r="DH10" s="313"/>
      <c r="DI10" s="313"/>
      <c r="DJ10" s="313"/>
      <c r="DK10" s="313"/>
      <c r="DL10" s="313"/>
      <c r="DM10" s="313"/>
      <c r="DN10" s="313"/>
      <c r="DO10" s="313"/>
      <c r="DP10" s="313"/>
      <c r="DQ10" s="313"/>
      <c r="DR10" s="313"/>
      <c r="DS10" s="313"/>
      <c r="DT10" s="313"/>
      <c r="DU10" s="313"/>
      <c r="DV10" s="313"/>
      <c r="DW10" s="313"/>
      <c r="DX10" s="313"/>
      <c r="DY10" s="313"/>
      <c r="DZ10" s="313"/>
      <c r="EA10" s="313"/>
      <c r="EB10" s="313"/>
      <c r="EC10" s="313"/>
      <c r="ED10" s="313"/>
      <c r="EE10" s="313"/>
      <c r="EF10" s="313"/>
      <c r="EG10" s="313"/>
      <c r="EH10" s="313"/>
      <c r="EI10" s="313"/>
      <c r="EJ10" s="313"/>
      <c r="EK10" s="313"/>
      <c r="EL10" s="313"/>
      <c r="EM10" s="313"/>
      <c r="EN10" s="313"/>
      <c r="EO10" s="313"/>
      <c r="EP10" s="313"/>
      <c r="EQ10" s="313"/>
      <c r="ER10" s="313"/>
      <c r="ES10" s="313"/>
      <c r="ET10" s="313"/>
    </row>
    <row r="11" spans="1:150" s="508" customFormat="1" ht="27" customHeight="1">
      <c r="A11" s="530">
        <v>1</v>
      </c>
      <c r="B11" s="700" t="s">
        <v>96</v>
      </c>
      <c r="C11" s="34">
        <v>111251102</v>
      </c>
      <c r="D11" s="34" t="s">
        <v>97</v>
      </c>
      <c r="E11" s="34" t="s">
        <v>98</v>
      </c>
      <c r="F11" s="531">
        <f>SUM(F13:F18)</f>
        <v>167</v>
      </c>
      <c r="G11" s="79"/>
      <c r="H11" s="532">
        <f>F11*G11</f>
        <v>0</v>
      </c>
      <c r="I11" s="533" t="s">
        <v>738</v>
      </c>
      <c r="J11" s="791"/>
      <c r="K11" s="452"/>
      <c r="L11" s="452"/>
      <c r="M11" s="452"/>
      <c r="N11" s="452"/>
      <c r="O11" s="452"/>
      <c r="P11" s="452"/>
      <c r="Q11" s="452"/>
      <c r="R11" s="452"/>
      <c r="S11" s="452"/>
      <c r="T11" s="452"/>
      <c r="U11" s="452"/>
      <c r="V11" s="452"/>
      <c r="W11" s="452"/>
      <c r="X11" s="452"/>
      <c r="Y11" s="452"/>
      <c r="Z11" s="452"/>
      <c r="AA11" s="452"/>
      <c r="AB11" s="452"/>
      <c r="AC11" s="452"/>
      <c r="AD11" s="452"/>
      <c r="AE11" s="452"/>
      <c r="AF11" s="452"/>
      <c r="AG11" s="452"/>
      <c r="AH11" s="452"/>
      <c r="AI11" s="452"/>
      <c r="AJ11" s="452"/>
      <c r="AK11" s="452"/>
      <c r="AL11" s="509"/>
      <c r="AM11" s="509"/>
      <c r="AN11" s="509"/>
      <c r="AO11" s="509"/>
      <c r="AP11" s="509"/>
      <c r="AQ11" s="509"/>
      <c r="AR11" s="509"/>
      <c r="AS11" s="509"/>
    </row>
    <row r="12" spans="1:150" s="508" customFormat="1" ht="13.5" customHeight="1">
      <c r="A12" s="530"/>
      <c r="B12" s="700"/>
      <c r="C12" s="34"/>
      <c r="D12" s="445" t="s">
        <v>99</v>
      </c>
      <c r="E12" s="34"/>
      <c r="F12" s="531"/>
      <c r="G12" s="532"/>
      <c r="H12" s="532"/>
      <c r="I12" s="533"/>
      <c r="J12" s="1137"/>
      <c r="K12" s="460"/>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509"/>
      <c r="AM12" s="509"/>
      <c r="AN12" s="509"/>
      <c r="AO12" s="509"/>
      <c r="AP12" s="509"/>
      <c r="AQ12" s="509"/>
      <c r="AR12" s="509"/>
      <c r="AS12" s="509"/>
    </row>
    <row r="13" spans="1:150" s="508" customFormat="1" ht="13.5" customHeight="1">
      <c r="A13" s="530"/>
      <c r="B13" s="700"/>
      <c r="C13" s="34"/>
      <c r="D13" s="445" t="s">
        <v>401</v>
      </c>
      <c r="E13" s="34"/>
      <c r="F13" s="1138">
        <v>77</v>
      </c>
      <c r="G13" s="532"/>
      <c r="H13" s="532"/>
      <c r="I13" s="533"/>
      <c r="J13" s="791"/>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509"/>
      <c r="AM13" s="509"/>
      <c r="AN13" s="509"/>
      <c r="AO13" s="509"/>
      <c r="AP13" s="509"/>
      <c r="AQ13" s="509"/>
      <c r="AR13" s="509"/>
      <c r="AS13" s="509"/>
    </row>
    <row r="14" spans="1:150" s="508" customFormat="1" ht="13.5" customHeight="1">
      <c r="A14" s="530"/>
      <c r="B14" s="700"/>
      <c r="C14" s="34"/>
      <c r="D14" s="445" t="s">
        <v>402</v>
      </c>
      <c r="E14" s="34"/>
      <c r="F14" s="1138">
        <v>39</v>
      </c>
      <c r="G14" s="532"/>
      <c r="H14" s="532"/>
      <c r="I14" s="533"/>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c r="AH14" s="452"/>
      <c r="AI14" s="452"/>
      <c r="AJ14" s="452"/>
      <c r="AK14" s="452"/>
      <c r="AL14" s="509"/>
      <c r="AM14" s="509"/>
      <c r="AN14" s="509"/>
      <c r="AO14" s="509"/>
      <c r="AP14" s="509"/>
      <c r="AQ14" s="509"/>
      <c r="AR14" s="509"/>
      <c r="AS14" s="509"/>
    </row>
    <row r="15" spans="1:150" s="508" customFormat="1" ht="13.5" customHeight="1">
      <c r="A15" s="530"/>
      <c r="B15" s="700"/>
      <c r="C15" s="34"/>
      <c r="D15" s="445" t="s">
        <v>403</v>
      </c>
      <c r="E15" s="34"/>
      <c r="F15" s="1138">
        <v>13</v>
      </c>
      <c r="G15" s="532"/>
      <c r="H15" s="532"/>
      <c r="I15" s="533"/>
      <c r="J15" s="791"/>
      <c r="K15" s="452"/>
      <c r="L15" s="452"/>
      <c r="M15" s="45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509"/>
      <c r="AM15" s="509"/>
      <c r="AN15" s="509"/>
      <c r="AO15" s="509"/>
      <c r="AP15" s="509"/>
      <c r="AQ15" s="509"/>
      <c r="AR15" s="509"/>
      <c r="AS15" s="509"/>
    </row>
    <row r="16" spans="1:150" s="508" customFormat="1" ht="13.5" customHeight="1">
      <c r="A16" s="530"/>
      <c r="B16" s="700"/>
      <c r="C16" s="34"/>
      <c r="D16" s="445" t="s">
        <v>404</v>
      </c>
      <c r="E16" s="34"/>
      <c r="F16" s="1138">
        <v>7</v>
      </c>
      <c r="G16" s="532"/>
      <c r="H16" s="532"/>
      <c r="I16" s="533"/>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509"/>
      <c r="AM16" s="509"/>
      <c r="AN16" s="509"/>
      <c r="AO16" s="509"/>
      <c r="AP16" s="509"/>
      <c r="AQ16" s="509"/>
      <c r="AR16" s="509"/>
      <c r="AS16" s="509"/>
    </row>
    <row r="17" spans="1:45" s="508" customFormat="1" ht="13.5" customHeight="1">
      <c r="A17" s="530"/>
      <c r="B17" s="700"/>
      <c r="C17" s="34"/>
      <c r="D17" s="445" t="s">
        <v>405</v>
      </c>
      <c r="E17" s="34"/>
      <c r="F17" s="1138">
        <v>19</v>
      </c>
      <c r="G17" s="532"/>
      <c r="H17" s="532"/>
      <c r="I17" s="533"/>
      <c r="J17" s="804"/>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509"/>
      <c r="AM17" s="509"/>
      <c r="AN17" s="509"/>
      <c r="AO17" s="509"/>
      <c r="AP17" s="509"/>
      <c r="AQ17" s="509"/>
      <c r="AR17" s="509"/>
      <c r="AS17" s="509"/>
    </row>
    <row r="18" spans="1:45" s="508" customFormat="1" ht="27" customHeight="1">
      <c r="A18" s="530"/>
      <c r="B18" s="700"/>
      <c r="C18" s="34"/>
      <c r="D18" s="445" t="s">
        <v>427</v>
      </c>
      <c r="E18" s="34"/>
      <c r="F18" s="1138">
        <v>12</v>
      </c>
      <c r="G18" s="532"/>
      <c r="H18" s="532"/>
      <c r="I18" s="533"/>
      <c r="J18" s="804"/>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509"/>
      <c r="AM18" s="509"/>
      <c r="AN18" s="509"/>
      <c r="AO18" s="509"/>
      <c r="AP18" s="509"/>
      <c r="AQ18" s="509"/>
      <c r="AR18" s="509"/>
      <c r="AS18" s="509"/>
    </row>
    <row r="19" spans="1:45" s="508" customFormat="1" ht="13.5" customHeight="1">
      <c r="A19" s="530"/>
      <c r="B19" s="700"/>
      <c r="C19" s="34"/>
      <c r="D19" s="445" t="s">
        <v>100</v>
      </c>
      <c r="E19" s="34"/>
      <c r="F19" s="1138"/>
      <c r="G19" s="532"/>
      <c r="H19" s="532"/>
      <c r="I19" s="533"/>
      <c r="J19" s="1139"/>
      <c r="K19" s="452"/>
      <c r="L19" s="452"/>
      <c r="M19" s="1140"/>
      <c r="N19" s="1140"/>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509"/>
      <c r="AM19" s="509"/>
      <c r="AN19" s="509"/>
      <c r="AO19" s="509"/>
      <c r="AP19" s="509"/>
      <c r="AQ19" s="509"/>
      <c r="AR19" s="509"/>
      <c r="AS19" s="509"/>
    </row>
    <row r="20" spans="1:45" s="508" customFormat="1" ht="13.5" customHeight="1">
      <c r="A20" s="530">
        <v>2</v>
      </c>
      <c r="B20" s="700" t="s">
        <v>96</v>
      </c>
      <c r="C20" s="34">
        <v>112101101</v>
      </c>
      <c r="D20" s="34" t="s">
        <v>101</v>
      </c>
      <c r="E20" s="34" t="s">
        <v>102</v>
      </c>
      <c r="F20" s="531">
        <f>SUM(F22:F23)</f>
        <v>33</v>
      </c>
      <c r="G20" s="79"/>
      <c r="H20" s="532">
        <f>F20*G20</f>
        <v>0</v>
      </c>
      <c r="I20" s="533" t="s">
        <v>738</v>
      </c>
      <c r="J20" s="1141"/>
      <c r="K20" s="460"/>
      <c r="L20" s="452"/>
      <c r="M20" s="452"/>
      <c r="N20" s="452"/>
      <c r="O20" s="452"/>
      <c r="P20" s="1142"/>
      <c r="Q20" s="452"/>
      <c r="R20" s="452"/>
      <c r="S20" s="452"/>
      <c r="T20" s="452"/>
      <c r="U20" s="452"/>
      <c r="V20" s="452"/>
      <c r="W20" s="452"/>
      <c r="X20" s="452"/>
      <c r="Y20" s="452"/>
      <c r="Z20" s="452"/>
      <c r="AA20" s="452"/>
      <c r="AB20" s="452"/>
      <c r="AC20" s="452"/>
      <c r="AD20" s="452"/>
      <c r="AE20" s="452"/>
      <c r="AF20" s="452"/>
      <c r="AG20" s="452"/>
      <c r="AH20" s="452"/>
      <c r="AI20" s="452"/>
      <c r="AJ20" s="452"/>
      <c r="AK20" s="452"/>
      <c r="AL20" s="509"/>
      <c r="AM20" s="509"/>
      <c r="AN20" s="509"/>
      <c r="AO20" s="509"/>
      <c r="AP20" s="509"/>
      <c r="AQ20" s="509"/>
      <c r="AR20" s="509"/>
      <c r="AS20" s="509"/>
    </row>
    <row r="21" spans="1:45" s="508" customFormat="1" ht="13.5" customHeight="1">
      <c r="A21" s="530"/>
      <c r="B21" s="700"/>
      <c r="C21" s="34"/>
      <c r="D21" s="445" t="s">
        <v>103</v>
      </c>
      <c r="E21" s="34"/>
      <c r="F21" s="531"/>
      <c r="G21" s="532"/>
      <c r="H21" s="532"/>
      <c r="I21" s="533"/>
      <c r="J21" s="587"/>
      <c r="K21" s="460"/>
      <c r="L21" s="452"/>
      <c r="M21" s="1142"/>
      <c r="N21" s="1142"/>
      <c r="O21" s="1143"/>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509"/>
      <c r="AM21" s="509"/>
      <c r="AN21" s="509"/>
      <c r="AO21" s="509"/>
      <c r="AP21" s="509"/>
      <c r="AQ21" s="509"/>
      <c r="AR21" s="509"/>
      <c r="AS21" s="509"/>
    </row>
    <row r="22" spans="1:45" s="508" customFormat="1" ht="13.5" customHeight="1">
      <c r="A22" s="530"/>
      <c r="B22" s="700"/>
      <c r="C22" s="34"/>
      <c r="D22" s="445" t="s">
        <v>426</v>
      </c>
      <c r="E22" s="34"/>
      <c r="F22" s="1138">
        <f>1+2+21+6</f>
        <v>30</v>
      </c>
      <c r="G22" s="532"/>
      <c r="H22" s="532"/>
      <c r="I22" s="533"/>
      <c r="J22" s="1144"/>
      <c r="K22" s="452"/>
      <c r="L22" s="452"/>
      <c r="M22" s="1142"/>
      <c r="N22" s="1142"/>
      <c r="O22" s="1143"/>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509"/>
      <c r="AM22" s="509"/>
      <c r="AN22" s="509"/>
      <c r="AO22" s="509"/>
      <c r="AP22" s="509"/>
      <c r="AQ22" s="509"/>
      <c r="AR22" s="509"/>
      <c r="AS22" s="509"/>
    </row>
    <row r="23" spans="1:45" s="508" customFormat="1" ht="13.5" customHeight="1">
      <c r="A23" s="530"/>
      <c r="B23" s="700"/>
      <c r="C23" s="34"/>
      <c r="D23" s="445" t="s">
        <v>425</v>
      </c>
      <c r="E23" s="34"/>
      <c r="F23" s="1138">
        <v>3</v>
      </c>
      <c r="G23" s="532"/>
      <c r="H23" s="532"/>
      <c r="I23" s="533"/>
      <c r="J23" s="1144"/>
      <c r="K23" s="452"/>
      <c r="L23" s="452"/>
      <c r="M23" s="1142"/>
      <c r="N23" s="1142"/>
      <c r="O23" s="1143"/>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509"/>
      <c r="AM23" s="509"/>
      <c r="AN23" s="509"/>
      <c r="AO23" s="509"/>
      <c r="AP23" s="509"/>
      <c r="AQ23" s="509"/>
      <c r="AR23" s="509"/>
      <c r="AS23" s="509"/>
    </row>
    <row r="24" spans="1:45" s="508" customFormat="1" ht="13.5" customHeight="1">
      <c r="A24" s="530"/>
      <c r="B24" s="700"/>
      <c r="C24" s="34"/>
      <c r="D24" s="36" t="s">
        <v>104</v>
      </c>
      <c r="E24" s="34"/>
      <c r="F24" s="548"/>
      <c r="G24" s="532"/>
      <c r="H24" s="532"/>
      <c r="I24" s="533"/>
      <c r="J24" s="569"/>
      <c r="K24" s="569"/>
      <c r="L24" s="569"/>
      <c r="M24" s="569"/>
      <c r="N24" s="569"/>
      <c r="O24" s="1143"/>
      <c r="P24" s="570"/>
      <c r="Q24" s="571"/>
      <c r="R24" s="572"/>
      <c r="S24" s="573"/>
      <c r="T24" s="573"/>
      <c r="U24" s="574"/>
      <c r="V24" s="452"/>
      <c r="W24" s="452"/>
      <c r="X24" s="452"/>
      <c r="Y24" s="452"/>
      <c r="Z24" s="452"/>
      <c r="AA24" s="452"/>
      <c r="AB24" s="452"/>
      <c r="AC24" s="452"/>
      <c r="AD24" s="452"/>
      <c r="AE24" s="452"/>
      <c r="AF24" s="452"/>
      <c r="AG24" s="452"/>
      <c r="AH24" s="452"/>
      <c r="AI24" s="452"/>
      <c r="AJ24" s="452"/>
      <c r="AK24" s="452"/>
      <c r="AL24" s="509"/>
      <c r="AM24" s="509"/>
      <c r="AN24" s="509"/>
      <c r="AO24" s="509"/>
      <c r="AP24" s="509"/>
      <c r="AQ24" s="509"/>
      <c r="AR24" s="509"/>
      <c r="AS24" s="509"/>
    </row>
    <row r="25" spans="1:45" s="508" customFormat="1" ht="13.5" customHeight="1">
      <c r="A25" s="530">
        <v>3</v>
      </c>
      <c r="B25" s="700" t="s">
        <v>96</v>
      </c>
      <c r="C25" s="34">
        <v>112101102</v>
      </c>
      <c r="D25" s="34" t="s">
        <v>105</v>
      </c>
      <c r="E25" s="34" t="s">
        <v>102</v>
      </c>
      <c r="F25" s="531">
        <f>SUM(F27)</f>
        <v>2</v>
      </c>
      <c r="G25" s="79"/>
      <c r="H25" s="532">
        <f>F25*G25</f>
        <v>0</v>
      </c>
      <c r="I25" s="533" t="s">
        <v>738</v>
      </c>
      <c r="J25" s="1137"/>
      <c r="K25" s="452"/>
      <c r="L25" s="452"/>
      <c r="M25" s="452"/>
      <c r="N25" s="452"/>
      <c r="O25" s="452"/>
      <c r="P25" s="452"/>
      <c r="Q25" s="452"/>
      <c r="R25" s="452"/>
      <c r="S25" s="452"/>
      <c r="T25" s="452"/>
      <c r="U25" s="452"/>
      <c r="V25" s="452"/>
      <c r="W25" s="452"/>
      <c r="X25" s="452"/>
      <c r="Y25" s="452"/>
      <c r="Z25" s="452"/>
      <c r="AA25" s="452"/>
      <c r="AB25" s="452"/>
      <c r="AC25" s="452"/>
      <c r="AD25" s="452"/>
      <c r="AE25" s="452"/>
      <c r="AF25" s="452"/>
      <c r="AG25" s="452"/>
      <c r="AH25" s="452"/>
      <c r="AI25" s="452"/>
      <c r="AJ25" s="452"/>
      <c r="AK25" s="452"/>
      <c r="AL25" s="509"/>
      <c r="AM25" s="509"/>
      <c r="AN25" s="509"/>
      <c r="AO25" s="509"/>
      <c r="AP25" s="509"/>
      <c r="AQ25" s="509"/>
      <c r="AR25" s="509"/>
      <c r="AS25" s="509"/>
    </row>
    <row r="26" spans="1:45" s="508" customFormat="1" ht="13.5" customHeight="1">
      <c r="A26" s="530"/>
      <c r="B26" s="700"/>
      <c r="C26" s="34"/>
      <c r="D26" s="445" t="s">
        <v>103</v>
      </c>
      <c r="E26" s="34"/>
      <c r="F26" s="531"/>
      <c r="G26" s="532"/>
      <c r="H26" s="532"/>
      <c r="I26" s="533"/>
      <c r="J26" s="587"/>
      <c r="K26" s="460"/>
      <c r="L26" s="452"/>
      <c r="M26" s="1145"/>
      <c r="N26" s="1145"/>
      <c r="O26" s="461"/>
      <c r="P26" s="1146"/>
      <c r="Q26" s="461"/>
      <c r="R26" s="452"/>
      <c r="S26" s="452"/>
      <c r="T26" s="452"/>
      <c r="U26" s="452"/>
      <c r="V26" s="452"/>
      <c r="W26" s="452"/>
      <c r="X26" s="452"/>
      <c r="Y26" s="452"/>
      <c r="Z26" s="452"/>
      <c r="AA26" s="452"/>
      <c r="AB26" s="452"/>
      <c r="AC26" s="452"/>
      <c r="AD26" s="452"/>
      <c r="AE26" s="452"/>
      <c r="AF26" s="452"/>
      <c r="AG26" s="452"/>
      <c r="AH26" s="452"/>
      <c r="AI26" s="452"/>
      <c r="AJ26" s="452"/>
      <c r="AK26" s="452"/>
      <c r="AL26" s="509"/>
      <c r="AM26" s="509"/>
      <c r="AN26" s="509"/>
      <c r="AO26" s="509"/>
      <c r="AP26" s="509"/>
      <c r="AQ26" s="509"/>
      <c r="AR26" s="509"/>
      <c r="AS26" s="509"/>
    </row>
    <row r="27" spans="1:45" s="508" customFormat="1" ht="13.5" customHeight="1">
      <c r="A27" s="530"/>
      <c r="B27" s="700"/>
      <c r="C27" s="34"/>
      <c r="D27" s="445" t="s">
        <v>406</v>
      </c>
      <c r="E27" s="34"/>
      <c r="F27" s="1138">
        <f>1+1</f>
        <v>2</v>
      </c>
      <c r="G27" s="532"/>
      <c r="H27" s="532"/>
      <c r="I27" s="533"/>
      <c r="J27" s="587"/>
      <c r="K27" s="452"/>
      <c r="L27" s="452"/>
      <c r="M27" s="1147"/>
      <c r="N27" s="1147"/>
      <c r="O27" s="1145"/>
      <c r="P27" s="1145"/>
      <c r="Q27" s="452"/>
      <c r="R27" s="452"/>
      <c r="S27" s="452"/>
      <c r="T27" s="452"/>
      <c r="U27" s="452"/>
      <c r="V27" s="452"/>
      <c r="W27" s="452"/>
      <c r="X27" s="452"/>
      <c r="Y27" s="452"/>
      <c r="Z27" s="452"/>
      <c r="AA27" s="452"/>
      <c r="AB27" s="452"/>
      <c r="AC27" s="452"/>
      <c r="AD27" s="452"/>
      <c r="AE27" s="452"/>
      <c r="AF27" s="452"/>
      <c r="AG27" s="452"/>
      <c r="AH27" s="452"/>
      <c r="AI27" s="452"/>
      <c r="AJ27" s="452"/>
      <c r="AK27" s="452"/>
      <c r="AL27" s="509"/>
      <c r="AM27" s="509"/>
      <c r="AN27" s="509"/>
      <c r="AO27" s="509"/>
      <c r="AP27" s="509"/>
      <c r="AQ27" s="509"/>
      <c r="AR27" s="509"/>
      <c r="AS27" s="509"/>
    </row>
    <row r="28" spans="1:45" s="508" customFormat="1" ht="13.5" customHeight="1">
      <c r="A28" s="530"/>
      <c r="B28" s="700"/>
      <c r="C28" s="34"/>
      <c r="D28" s="36" t="s">
        <v>104</v>
      </c>
      <c r="E28" s="34"/>
      <c r="F28" s="548"/>
      <c r="G28" s="532"/>
      <c r="H28" s="532"/>
      <c r="I28" s="533"/>
      <c r="J28" s="569"/>
      <c r="K28" s="569"/>
      <c r="L28" s="569"/>
      <c r="M28" s="1148"/>
      <c r="N28" s="1148"/>
      <c r="O28" s="1149"/>
      <c r="P28" s="1145"/>
      <c r="Q28" s="452"/>
      <c r="R28" s="572"/>
      <c r="S28" s="573"/>
      <c r="T28" s="573"/>
      <c r="U28" s="574"/>
      <c r="V28" s="452"/>
      <c r="W28" s="452"/>
      <c r="X28" s="452"/>
      <c r="Y28" s="452"/>
      <c r="Z28" s="452"/>
      <c r="AA28" s="452"/>
      <c r="AB28" s="452"/>
      <c r="AC28" s="452"/>
      <c r="AD28" s="452"/>
      <c r="AE28" s="452"/>
      <c r="AF28" s="452"/>
      <c r="AG28" s="452"/>
      <c r="AH28" s="452"/>
      <c r="AI28" s="452"/>
      <c r="AJ28" s="452"/>
      <c r="AK28" s="452"/>
      <c r="AL28" s="509"/>
      <c r="AM28" s="509"/>
      <c r="AN28" s="509"/>
      <c r="AO28" s="509"/>
      <c r="AP28" s="509"/>
      <c r="AQ28" s="509"/>
      <c r="AR28" s="509"/>
      <c r="AS28" s="509"/>
    </row>
    <row r="29" spans="1:45" s="508" customFormat="1" ht="13.5" customHeight="1">
      <c r="A29" s="530">
        <v>4</v>
      </c>
      <c r="B29" s="700" t="s">
        <v>96</v>
      </c>
      <c r="C29" s="34">
        <v>112101103</v>
      </c>
      <c r="D29" s="34" t="s">
        <v>106</v>
      </c>
      <c r="E29" s="34" t="s">
        <v>102</v>
      </c>
      <c r="F29" s="531">
        <f>SUM(F31)</f>
        <v>2</v>
      </c>
      <c r="G29" s="79"/>
      <c r="H29" s="532">
        <f>F29*G29</f>
        <v>0</v>
      </c>
      <c r="I29" s="533" t="s">
        <v>738</v>
      </c>
      <c r="J29" s="569"/>
      <c r="K29" s="569"/>
      <c r="L29" s="569"/>
      <c r="M29" s="1148"/>
      <c r="N29" s="1148"/>
      <c r="O29" s="1149"/>
      <c r="P29" s="1145"/>
      <c r="Q29" s="452"/>
      <c r="R29" s="572"/>
      <c r="S29" s="573"/>
      <c r="T29" s="573"/>
      <c r="U29" s="574"/>
      <c r="V29" s="452"/>
      <c r="W29" s="452"/>
      <c r="X29" s="452"/>
      <c r="Y29" s="452"/>
      <c r="Z29" s="452"/>
      <c r="AA29" s="452"/>
      <c r="AB29" s="452"/>
      <c r="AC29" s="452"/>
      <c r="AD29" s="452"/>
      <c r="AE29" s="452"/>
      <c r="AF29" s="452"/>
      <c r="AG29" s="452"/>
      <c r="AH29" s="452"/>
      <c r="AI29" s="452"/>
      <c r="AJ29" s="452"/>
      <c r="AK29" s="452"/>
      <c r="AL29" s="509"/>
      <c r="AM29" s="509"/>
      <c r="AN29" s="509"/>
      <c r="AO29" s="509"/>
      <c r="AP29" s="509"/>
      <c r="AQ29" s="509"/>
      <c r="AR29" s="509"/>
      <c r="AS29" s="509"/>
    </row>
    <row r="30" spans="1:45" s="508" customFormat="1" ht="13.5" customHeight="1">
      <c r="A30" s="530"/>
      <c r="B30" s="700"/>
      <c r="C30" s="34"/>
      <c r="D30" s="445" t="s">
        <v>103</v>
      </c>
      <c r="E30" s="34"/>
      <c r="F30" s="1138"/>
      <c r="G30" s="532"/>
      <c r="H30" s="532"/>
      <c r="I30" s="533"/>
      <c r="J30" s="587"/>
      <c r="K30" s="452"/>
      <c r="L30" s="452"/>
      <c r="M30" s="1147"/>
      <c r="N30" s="1147"/>
      <c r="O30" s="1145"/>
      <c r="P30" s="1145"/>
      <c r="Q30" s="452"/>
      <c r="R30" s="452"/>
      <c r="S30" s="452"/>
      <c r="T30" s="452"/>
      <c r="U30" s="452"/>
      <c r="V30" s="452"/>
      <c r="W30" s="452"/>
      <c r="X30" s="452"/>
      <c r="Y30" s="452"/>
      <c r="Z30" s="452"/>
      <c r="AA30" s="452"/>
      <c r="AB30" s="452"/>
      <c r="AC30" s="452"/>
      <c r="AD30" s="452"/>
      <c r="AE30" s="452"/>
      <c r="AF30" s="452"/>
      <c r="AG30" s="452"/>
      <c r="AH30" s="452"/>
      <c r="AI30" s="452"/>
      <c r="AJ30" s="452"/>
      <c r="AK30" s="452"/>
      <c r="AL30" s="509"/>
      <c r="AM30" s="509"/>
      <c r="AN30" s="509"/>
      <c r="AO30" s="509"/>
      <c r="AP30" s="509"/>
      <c r="AQ30" s="509"/>
      <c r="AR30" s="509"/>
      <c r="AS30" s="509"/>
    </row>
    <row r="31" spans="1:45" s="508" customFormat="1" ht="13.5" customHeight="1">
      <c r="A31" s="530"/>
      <c r="B31" s="700"/>
      <c r="C31" s="34"/>
      <c r="D31" s="445" t="s">
        <v>407</v>
      </c>
      <c r="E31" s="34"/>
      <c r="F31" s="1138">
        <f>1+1</f>
        <v>2</v>
      </c>
      <c r="G31" s="532"/>
      <c r="H31" s="532"/>
      <c r="I31" s="533"/>
      <c r="J31" s="569"/>
      <c r="K31" s="569"/>
      <c r="L31" s="569"/>
      <c r="M31" s="1148"/>
      <c r="N31" s="1148"/>
      <c r="O31" s="1149"/>
      <c r="P31" s="1145"/>
      <c r="Q31" s="452"/>
      <c r="R31" s="572"/>
      <c r="S31" s="573"/>
      <c r="T31" s="573"/>
      <c r="U31" s="574"/>
      <c r="V31" s="452"/>
      <c r="W31" s="452"/>
      <c r="X31" s="452"/>
      <c r="Y31" s="452"/>
      <c r="Z31" s="452"/>
      <c r="AA31" s="452"/>
      <c r="AB31" s="452"/>
      <c r="AC31" s="452"/>
      <c r="AD31" s="452"/>
      <c r="AE31" s="452"/>
      <c r="AF31" s="452"/>
      <c r="AG31" s="452"/>
      <c r="AH31" s="452"/>
      <c r="AI31" s="452"/>
      <c r="AJ31" s="452"/>
      <c r="AK31" s="452"/>
      <c r="AL31" s="509"/>
      <c r="AM31" s="509"/>
      <c r="AN31" s="509"/>
      <c r="AO31" s="509"/>
      <c r="AP31" s="509"/>
      <c r="AQ31" s="509"/>
      <c r="AR31" s="509"/>
      <c r="AS31" s="509"/>
    </row>
    <row r="32" spans="1:45" s="508" customFormat="1" ht="13.5" customHeight="1">
      <c r="A32" s="530"/>
      <c r="B32" s="700"/>
      <c r="C32" s="34"/>
      <c r="D32" s="36" t="s">
        <v>104</v>
      </c>
      <c r="E32" s="34"/>
      <c r="F32" s="548"/>
      <c r="G32" s="532"/>
      <c r="H32" s="532"/>
      <c r="I32" s="533"/>
      <c r="J32" s="569"/>
      <c r="K32" s="569"/>
      <c r="L32" s="569"/>
      <c r="M32" s="1148"/>
      <c r="N32" s="1148"/>
      <c r="O32" s="1149"/>
      <c r="P32" s="1145"/>
      <c r="Q32" s="452"/>
      <c r="R32" s="572"/>
      <c r="S32" s="573"/>
      <c r="T32" s="573"/>
      <c r="U32" s="574"/>
      <c r="V32" s="452"/>
      <c r="W32" s="452"/>
      <c r="X32" s="452"/>
      <c r="Y32" s="452"/>
      <c r="Z32" s="452"/>
      <c r="AA32" s="452"/>
      <c r="AB32" s="452"/>
      <c r="AC32" s="452"/>
      <c r="AD32" s="452"/>
      <c r="AE32" s="452"/>
      <c r="AF32" s="452"/>
      <c r="AG32" s="452"/>
      <c r="AH32" s="452"/>
      <c r="AI32" s="452"/>
      <c r="AJ32" s="452"/>
      <c r="AK32" s="452"/>
      <c r="AL32" s="509"/>
      <c r="AM32" s="509"/>
      <c r="AN32" s="509"/>
      <c r="AO32" s="509"/>
      <c r="AP32" s="509"/>
      <c r="AQ32" s="509"/>
      <c r="AR32" s="509"/>
      <c r="AS32" s="509"/>
    </row>
    <row r="33" spans="1:45" s="508" customFormat="1" ht="13.5" customHeight="1">
      <c r="A33" s="530">
        <v>5</v>
      </c>
      <c r="B33" s="700" t="s">
        <v>96</v>
      </c>
      <c r="C33" s="34">
        <v>112101105</v>
      </c>
      <c r="D33" s="34" t="s">
        <v>408</v>
      </c>
      <c r="E33" s="34" t="s">
        <v>102</v>
      </c>
      <c r="F33" s="531">
        <f>SUM(F35)</f>
        <v>1</v>
      </c>
      <c r="G33" s="79"/>
      <c r="H33" s="532">
        <f>F33*G33</f>
        <v>0</v>
      </c>
      <c r="I33" s="533" t="s">
        <v>738</v>
      </c>
      <c r="J33" s="569"/>
      <c r="K33" s="569"/>
      <c r="L33" s="569"/>
      <c r="M33" s="1148"/>
      <c r="N33" s="1148"/>
      <c r="O33" s="1149"/>
      <c r="P33" s="1145"/>
      <c r="Q33" s="452"/>
      <c r="R33" s="572"/>
      <c r="S33" s="573"/>
      <c r="T33" s="573"/>
      <c r="U33" s="574"/>
      <c r="V33" s="452"/>
      <c r="W33" s="452"/>
      <c r="X33" s="452"/>
      <c r="Y33" s="452"/>
      <c r="Z33" s="452"/>
      <c r="AA33" s="452"/>
      <c r="AB33" s="452"/>
      <c r="AC33" s="452"/>
      <c r="AD33" s="452"/>
      <c r="AE33" s="452"/>
      <c r="AF33" s="452"/>
      <c r="AG33" s="452"/>
      <c r="AH33" s="452"/>
      <c r="AI33" s="452"/>
      <c r="AJ33" s="452"/>
      <c r="AK33" s="452"/>
      <c r="AL33" s="509"/>
      <c r="AM33" s="509"/>
      <c r="AN33" s="509"/>
      <c r="AO33" s="509"/>
      <c r="AP33" s="509"/>
      <c r="AQ33" s="509"/>
      <c r="AR33" s="509"/>
      <c r="AS33" s="509"/>
    </row>
    <row r="34" spans="1:45" s="508" customFormat="1" ht="13.5" customHeight="1">
      <c r="A34" s="530"/>
      <c r="B34" s="700"/>
      <c r="C34" s="34"/>
      <c r="D34" s="445" t="s">
        <v>103</v>
      </c>
      <c r="E34" s="34"/>
      <c r="F34" s="1138"/>
      <c r="G34" s="532"/>
      <c r="H34" s="532"/>
      <c r="I34" s="533"/>
      <c r="J34" s="587"/>
      <c r="K34" s="452"/>
      <c r="L34" s="452"/>
      <c r="M34" s="1147"/>
      <c r="N34" s="1147"/>
      <c r="O34" s="1145"/>
      <c r="P34" s="1145"/>
      <c r="Q34" s="452"/>
      <c r="R34" s="452"/>
      <c r="S34" s="452"/>
      <c r="T34" s="452"/>
      <c r="U34" s="452"/>
      <c r="V34" s="452"/>
      <c r="W34" s="452"/>
      <c r="X34" s="452"/>
      <c r="Y34" s="452"/>
      <c r="Z34" s="452"/>
      <c r="AA34" s="452"/>
      <c r="AB34" s="452"/>
      <c r="AC34" s="452"/>
      <c r="AD34" s="452"/>
      <c r="AE34" s="452"/>
      <c r="AF34" s="452"/>
      <c r="AG34" s="452"/>
      <c r="AH34" s="452"/>
      <c r="AI34" s="452"/>
      <c r="AJ34" s="452"/>
      <c r="AK34" s="452"/>
      <c r="AL34" s="509"/>
      <c r="AM34" s="509"/>
      <c r="AN34" s="509"/>
      <c r="AO34" s="509"/>
      <c r="AP34" s="509"/>
      <c r="AQ34" s="509"/>
      <c r="AR34" s="509"/>
      <c r="AS34" s="509"/>
    </row>
    <row r="35" spans="1:45" s="508" customFormat="1" ht="13.5" customHeight="1">
      <c r="A35" s="530"/>
      <c r="B35" s="700"/>
      <c r="C35" s="34"/>
      <c r="D35" s="445" t="s">
        <v>409</v>
      </c>
      <c r="E35" s="34"/>
      <c r="F35" s="1138">
        <f>1</f>
        <v>1</v>
      </c>
      <c r="G35" s="532"/>
      <c r="H35" s="532"/>
      <c r="I35" s="533"/>
      <c r="J35" s="569"/>
      <c r="K35" s="569"/>
      <c r="L35" s="569"/>
      <c r="M35" s="1148"/>
      <c r="N35" s="1148"/>
      <c r="O35" s="1149"/>
      <c r="P35" s="1145"/>
      <c r="Q35" s="452"/>
      <c r="R35" s="572"/>
      <c r="S35" s="573"/>
      <c r="T35" s="573"/>
      <c r="U35" s="574"/>
      <c r="V35" s="452"/>
      <c r="W35" s="452"/>
      <c r="X35" s="452"/>
      <c r="Y35" s="452"/>
      <c r="Z35" s="452"/>
      <c r="AA35" s="452"/>
      <c r="AB35" s="452"/>
      <c r="AC35" s="452"/>
      <c r="AD35" s="452"/>
      <c r="AE35" s="452"/>
      <c r="AF35" s="452"/>
      <c r="AG35" s="452"/>
      <c r="AH35" s="452"/>
      <c r="AI35" s="452"/>
      <c r="AJ35" s="452"/>
      <c r="AK35" s="452"/>
      <c r="AL35" s="509"/>
      <c r="AM35" s="509"/>
      <c r="AN35" s="509"/>
      <c r="AO35" s="509"/>
      <c r="AP35" s="509"/>
      <c r="AQ35" s="509"/>
      <c r="AR35" s="509"/>
      <c r="AS35" s="509"/>
    </row>
    <row r="36" spans="1:45" s="508" customFormat="1" ht="13.5" customHeight="1">
      <c r="A36" s="530"/>
      <c r="B36" s="700"/>
      <c r="C36" s="34"/>
      <c r="D36" s="36" t="s">
        <v>104</v>
      </c>
      <c r="E36" s="34"/>
      <c r="F36" s="548"/>
      <c r="G36" s="532"/>
      <c r="H36" s="532"/>
      <c r="I36" s="533"/>
      <c r="J36" s="569"/>
      <c r="K36" s="569"/>
      <c r="L36" s="569"/>
      <c r="M36" s="1148"/>
      <c r="N36" s="1148"/>
      <c r="O36" s="1149"/>
      <c r="P36" s="1145"/>
      <c r="Q36" s="452"/>
      <c r="R36" s="572"/>
      <c r="S36" s="573"/>
      <c r="T36" s="573"/>
      <c r="U36" s="574"/>
      <c r="V36" s="452"/>
      <c r="W36" s="452"/>
      <c r="X36" s="452"/>
      <c r="Y36" s="452"/>
      <c r="Z36" s="452"/>
      <c r="AA36" s="452"/>
      <c r="AB36" s="452"/>
      <c r="AC36" s="452"/>
      <c r="AD36" s="452"/>
      <c r="AE36" s="452"/>
      <c r="AF36" s="452"/>
      <c r="AG36" s="452"/>
      <c r="AH36" s="452"/>
      <c r="AI36" s="452"/>
      <c r="AJ36" s="452"/>
      <c r="AK36" s="452"/>
      <c r="AL36" s="509"/>
      <c r="AM36" s="509"/>
      <c r="AN36" s="509"/>
      <c r="AO36" s="509"/>
      <c r="AP36" s="509"/>
      <c r="AQ36" s="509"/>
      <c r="AR36" s="509"/>
      <c r="AS36" s="509"/>
    </row>
    <row r="37" spans="1:45" s="508" customFormat="1" ht="13.5" customHeight="1">
      <c r="A37" s="530">
        <v>6</v>
      </c>
      <c r="B37" s="700" t="s">
        <v>96</v>
      </c>
      <c r="C37" s="34">
        <v>112101121</v>
      </c>
      <c r="D37" s="34" t="s">
        <v>754</v>
      </c>
      <c r="E37" s="34" t="s">
        <v>102</v>
      </c>
      <c r="F37" s="531">
        <f>SUM(F39:F39)</f>
        <v>1</v>
      </c>
      <c r="G37" s="79"/>
      <c r="H37" s="532">
        <f>F37*G37</f>
        <v>0</v>
      </c>
      <c r="I37" s="533" t="s">
        <v>738</v>
      </c>
      <c r="J37" s="1141"/>
      <c r="K37" s="460"/>
      <c r="L37" s="452"/>
      <c r="M37" s="452"/>
      <c r="N37" s="452"/>
      <c r="O37" s="452"/>
      <c r="P37" s="1142"/>
      <c r="Q37" s="452"/>
      <c r="R37" s="452"/>
      <c r="S37" s="452"/>
      <c r="T37" s="452"/>
      <c r="U37" s="452"/>
      <c r="V37" s="452"/>
      <c r="W37" s="452"/>
      <c r="X37" s="452"/>
      <c r="Y37" s="452"/>
      <c r="Z37" s="452"/>
      <c r="AA37" s="452"/>
      <c r="AB37" s="452"/>
      <c r="AC37" s="452"/>
      <c r="AD37" s="452"/>
      <c r="AE37" s="452"/>
      <c r="AF37" s="452"/>
      <c r="AG37" s="452"/>
      <c r="AH37" s="452"/>
      <c r="AI37" s="452"/>
      <c r="AJ37" s="452"/>
      <c r="AK37" s="452"/>
      <c r="AL37" s="509"/>
      <c r="AM37" s="509"/>
      <c r="AN37" s="509"/>
      <c r="AO37" s="509"/>
      <c r="AP37" s="509"/>
      <c r="AQ37" s="509"/>
      <c r="AR37" s="509"/>
      <c r="AS37" s="509"/>
    </row>
    <row r="38" spans="1:45" s="508" customFormat="1" ht="13.5" customHeight="1">
      <c r="A38" s="530"/>
      <c r="B38" s="700"/>
      <c r="C38" s="34"/>
      <c r="D38" s="445" t="s">
        <v>756</v>
      </c>
      <c r="E38" s="34"/>
      <c r="F38" s="531"/>
      <c r="G38" s="532"/>
      <c r="H38" s="532"/>
      <c r="I38" s="533"/>
      <c r="J38" s="587"/>
      <c r="K38" s="460"/>
      <c r="L38" s="452"/>
      <c r="M38" s="1142"/>
      <c r="N38" s="1142"/>
      <c r="O38" s="1143"/>
      <c r="P38" s="452"/>
      <c r="Q38" s="452"/>
      <c r="R38" s="452"/>
      <c r="S38" s="452"/>
      <c r="T38" s="452"/>
      <c r="U38" s="452"/>
      <c r="V38" s="452"/>
      <c r="W38" s="452"/>
      <c r="X38" s="452"/>
      <c r="Y38" s="452"/>
      <c r="Z38" s="452"/>
      <c r="AA38" s="452"/>
      <c r="AB38" s="452"/>
      <c r="AC38" s="452"/>
      <c r="AD38" s="452"/>
      <c r="AE38" s="452"/>
      <c r="AF38" s="452"/>
      <c r="AG38" s="452"/>
      <c r="AH38" s="452"/>
      <c r="AI38" s="452"/>
      <c r="AJ38" s="452"/>
      <c r="AK38" s="452"/>
      <c r="AL38" s="509"/>
      <c r="AM38" s="509"/>
      <c r="AN38" s="509"/>
      <c r="AO38" s="509"/>
      <c r="AP38" s="509"/>
      <c r="AQ38" s="509"/>
      <c r="AR38" s="509"/>
      <c r="AS38" s="509"/>
    </row>
    <row r="39" spans="1:45" s="508" customFormat="1" ht="13.5" customHeight="1">
      <c r="A39" s="530"/>
      <c r="B39" s="700"/>
      <c r="C39" s="34"/>
      <c r="D39" s="445" t="s">
        <v>755</v>
      </c>
      <c r="E39" s="34"/>
      <c r="F39" s="1138">
        <v>1</v>
      </c>
      <c r="G39" s="532"/>
      <c r="H39" s="532"/>
      <c r="I39" s="533"/>
      <c r="J39" s="566"/>
      <c r="K39" s="452"/>
      <c r="L39" s="452"/>
      <c r="M39" s="1142"/>
      <c r="N39" s="1142"/>
      <c r="O39" s="1143"/>
      <c r="P39" s="452"/>
      <c r="Q39" s="452"/>
      <c r="R39" s="452"/>
      <c r="S39" s="452"/>
      <c r="T39" s="452"/>
      <c r="U39" s="452"/>
      <c r="V39" s="452"/>
      <c r="W39" s="452"/>
      <c r="X39" s="452"/>
      <c r="Y39" s="452"/>
      <c r="Z39" s="452"/>
      <c r="AA39" s="452"/>
      <c r="AB39" s="452"/>
      <c r="AC39" s="452"/>
      <c r="AD39" s="452"/>
      <c r="AE39" s="452"/>
      <c r="AF39" s="452"/>
      <c r="AG39" s="452"/>
      <c r="AH39" s="452"/>
      <c r="AI39" s="452"/>
      <c r="AJ39" s="452"/>
      <c r="AK39" s="452"/>
      <c r="AL39" s="509"/>
      <c r="AM39" s="509"/>
      <c r="AN39" s="509"/>
      <c r="AO39" s="509"/>
      <c r="AP39" s="509"/>
      <c r="AQ39" s="509"/>
      <c r="AR39" s="509"/>
      <c r="AS39" s="509"/>
    </row>
    <row r="40" spans="1:45" s="508" customFormat="1" ht="13.5" customHeight="1">
      <c r="A40" s="530"/>
      <c r="B40" s="700"/>
      <c r="C40" s="34"/>
      <c r="D40" s="36" t="s">
        <v>104</v>
      </c>
      <c r="E40" s="34"/>
      <c r="F40" s="548"/>
      <c r="G40" s="532"/>
      <c r="H40" s="532"/>
      <c r="I40" s="533"/>
      <c r="J40" s="569"/>
      <c r="K40" s="569"/>
      <c r="L40" s="569"/>
      <c r="M40" s="569"/>
      <c r="N40" s="569"/>
      <c r="O40" s="1143"/>
      <c r="P40" s="570"/>
      <c r="Q40" s="571"/>
      <c r="R40" s="572"/>
      <c r="S40" s="573"/>
      <c r="T40" s="573"/>
      <c r="U40" s="574"/>
      <c r="V40" s="452"/>
      <c r="W40" s="452"/>
      <c r="X40" s="452"/>
      <c r="Y40" s="452"/>
      <c r="Z40" s="452"/>
      <c r="AA40" s="452"/>
      <c r="AB40" s="452"/>
      <c r="AC40" s="452"/>
      <c r="AD40" s="452"/>
      <c r="AE40" s="452"/>
      <c r="AF40" s="452"/>
      <c r="AG40" s="452"/>
      <c r="AH40" s="452"/>
      <c r="AI40" s="452"/>
      <c r="AJ40" s="452"/>
      <c r="AK40" s="452"/>
      <c r="AL40" s="509"/>
      <c r="AM40" s="509"/>
      <c r="AN40" s="509"/>
      <c r="AO40" s="509"/>
      <c r="AP40" s="509"/>
      <c r="AQ40" s="509"/>
      <c r="AR40" s="509"/>
      <c r="AS40" s="509"/>
    </row>
    <row r="41" spans="1:45" s="508" customFormat="1" ht="13.5" customHeight="1">
      <c r="A41" s="530">
        <v>7</v>
      </c>
      <c r="B41" s="700" t="s">
        <v>96</v>
      </c>
      <c r="C41" s="34">
        <v>112251101</v>
      </c>
      <c r="D41" s="34" t="s">
        <v>107</v>
      </c>
      <c r="E41" s="34" t="s">
        <v>102</v>
      </c>
      <c r="F41" s="531">
        <f>SUM(F42:F43)</f>
        <v>28</v>
      </c>
      <c r="G41" s="79"/>
      <c r="H41" s="532">
        <f>F41*G41</f>
        <v>0</v>
      </c>
      <c r="I41" s="533" t="s">
        <v>738</v>
      </c>
      <c r="J41" s="1150"/>
      <c r="K41" s="569"/>
      <c r="L41" s="569"/>
      <c r="M41" s="452"/>
      <c r="N41" s="452"/>
      <c r="O41" s="452"/>
      <c r="P41" s="452"/>
      <c r="Q41" s="452"/>
      <c r="R41" s="452"/>
      <c r="S41" s="452"/>
      <c r="T41" s="574"/>
      <c r="U41" s="452"/>
      <c r="V41" s="575"/>
      <c r="W41" s="452"/>
      <c r="X41" s="452"/>
      <c r="Y41" s="452"/>
      <c r="Z41" s="452"/>
      <c r="AA41" s="452"/>
      <c r="AB41" s="452"/>
      <c r="AC41" s="452"/>
      <c r="AD41" s="452"/>
      <c r="AE41" s="452"/>
      <c r="AF41" s="452"/>
      <c r="AG41" s="452"/>
      <c r="AH41" s="452"/>
      <c r="AI41" s="452"/>
      <c r="AJ41" s="452"/>
      <c r="AK41" s="452"/>
      <c r="AL41" s="509"/>
      <c r="AM41" s="509"/>
      <c r="AN41" s="509"/>
      <c r="AO41" s="509"/>
      <c r="AP41" s="509"/>
      <c r="AQ41" s="509"/>
      <c r="AR41" s="509"/>
      <c r="AS41" s="509"/>
    </row>
    <row r="42" spans="1:45" s="508" customFormat="1" ht="27" customHeight="1">
      <c r="A42" s="530"/>
      <c r="B42" s="700"/>
      <c r="C42" s="34"/>
      <c r="D42" s="36" t="s">
        <v>410</v>
      </c>
      <c r="E42" s="34"/>
      <c r="F42" s="1138">
        <f>1+2+11+6+1+6</f>
        <v>27</v>
      </c>
      <c r="G42" s="532"/>
      <c r="H42" s="532"/>
      <c r="I42" s="533"/>
      <c r="J42" s="1151"/>
      <c r="K42" s="569"/>
      <c r="L42" s="569"/>
      <c r="M42" s="1148"/>
      <c r="N42" s="1148"/>
      <c r="O42" s="1149"/>
      <c r="P42" s="1145"/>
      <c r="Q42" s="452"/>
      <c r="R42" s="452"/>
      <c r="S42" s="452"/>
      <c r="T42" s="574"/>
      <c r="U42" s="452"/>
      <c r="V42" s="575"/>
      <c r="W42" s="452"/>
      <c r="X42" s="452"/>
      <c r="Y42" s="452"/>
      <c r="Z42" s="452"/>
      <c r="AA42" s="452"/>
      <c r="AB42" s="452"/>
      <c r="AC42" s="452"/>
      <c r="AD42" s="452"/>
      <c r="AE42" s="452"/>
      <c r="AF42" s="452"/>
      <c r="AG42" s="452"/>
      <c r="AH42" s="452"/>
      <c r="AI42" s="452"/>
      <c r="AJ42" s="452"/>
      <c r="AK42" s="452"/>
      <c r="AL42" s="509"/>
      <c r="AM42" s="509"/>
      <c r="AN42" s="509"/>
      <c r="AO42" s="509"/>
      <c r="AP42" s="509"/>
      <c r="AQ42" s="509"/>
      <c r="AR42" s="509"/>
      <c r="AS42" s="509"/>
    </row>
    <row r="43" spans="1:45" s="508" customFormat="1" ht="13.5" customHeight="1">
      <c r="A43" s="530"/>
      <c r="B43" s="700"/>
      <c r="C43" s="34"/>
      <c r="D43" s="36" t="s">
        <v>757</v>
      </c>
      <c r="E43" s="34"/>
      <c r="F43" s="1138">
        <v>1</v>
      </c>
      <c r="G43" s="532"/>
      <c r="H43" s="532"/>
      <c r="I43" s="533"/>
      <c r="J43" s="1151"/>
      <c r="K43" s="569"/>
      <c r="L43" s="569"/>
      <c r="M43" s="1148"/>
      <c r="N43" s="1148"/>
      <c r="O43" s="1149"/>
      <c r="P43" s="1145"/>
      <c r="Q43" s="452"/>
      <c r="R43" s="452"/>
      <c r="S43" s="452"/>
      <c r="T43" s="574"/>
      <c r="U43" s="452"/>
      <c r="V43" s="575"/>
      <c r="W43" s="452"/>
      <c r="X43" s="452"/>
      <c r="Y43" s="452"/>
      <c r="Z43" s="452"/>
      <c r="AA43" s="452"/>
      <c r="AB43" s="452"/>
      <c r="AC43" s="452"/>
      <c r="AD43" s="452"/>
      <c r="AE43" s="452"/>
      <c r="AF43" s="452"/>
      <c r="AG43" s="452"/>
      <c r="AH43" s="452"/>
      <c r="AI43" s="452"/>
      <c r="AJ43" s="452"/>
      <c r="AK43" s="452"/>
      <c r="AL43" s="509"/>
      <c r="AM43" s="509"/>
      <c r="AN43" s="509"/>
      <c r="AO43" s="509"/>
      <c r="AP43" s="509"/>
      <c r="AQ43" s="509"/>
      <c r="AR43" s="509"/>
      <c r="AS43" s="509"/>
    </row>
    <row r="44" spans="1:45" s="508" customFormat="1" ht="13.5" customHeight="1">
      <c r="A44" s="530"/>
      <c r="B44" s="700"/>
      <c r="C44" s="34"/>
      <c r="D44" s="36" t="s">
        <v>108</v>
      </c>
      <c r="E44" s="34"/>
      <c r="F44" s="34"/>
      <c r="G44" s="532"/>
      <c r="H44" s="532"/>
      <c r="I44" s="533"/>
      <c r="J44" s="1150"/>
      <c r="K44" s="569"/>
      <c r="L44" s="569"/>
      <c r="M44" s="1147"/>
      <c r="N44" s="1147"/>
      <c r="O44" s="1145"/>
      <c r="P44" s="1145"/>
      <c r="Q44" s="452"/>
      <c r="R44" s="1152"/>
      <c r="S44" s="1152"/>
      <c r="T44" s="574"/>
      <c r="U44" s="452"/>
      <c r="V44" s="575"/>
      <c r="W44" s="452"/>
      <c r="X44" s="452"/>
      <c r="Y44" s="452"/>
      <c r="Z44" s="452"/>
      <c r="AA44" s="452"/>
      <c r="AB44" s="452"/>
      <c r="AC44" s="452"/>
      <c r="AD44" s="452"/>
      <c r="AE44" s="452"/>
      <c r="AF44" s="452"/>
      <c r="AG44" s="452"/>
      <c r="AH44" s="452"/>
      <c r="AI44" s="452"/>
      <c r="AJ44" s="452"/>
      <c r="AK44" s="452"/>
      <c r="AL44" s="509"/>
      <c r="AM44" s="509"/>
      <c r="AN44" s="509"/>
      <c r="AO44" s="509"/>
      <c r="AP44" s="509"/>
      <c r="AQ44" s="509"/>
      <c r="AR44" s="509"/>
      <c r="AS44" s="509"/>
    </row>
    <row r="45" spans="1:45" s="508" customFormat="1" ht="13.5" customHeight="1">
      <c r="A45" s="530">
        <v>8</v>
      </c>
      <c r="B45" s="700" t="s">
        <v>96</v>
      </c>
      <c r="C45" s="34">
        <v>112251102</v>
      </c>
      <c r="D45" s="34" t="s">
        <v>109</v>
      </c>
      <c r="E45" s="34" t="s">
        <v>102</v>
      </c>
      <c r="F45" s="531">
        <f>SUM(F46:F47)</f>
        <v>5</v>
      </c>
      <c r="G45" s="79"/>
      <c r="H45" s="532">
        <f>F45*G45</f>
        <v>0</v>
      </c>
      <c r="I45" s="533" t="s">
        <v>738</v>
      </c>
      <c r="J45" s="1150"/>
      <c r="K45" s="569"/>
      <c r="L45" s="569"/>
      <c r="M45" s="1147"/>
      <c r="N45" s="1147"/>
      <c r="O45" s="1145"/>
      <c r="P45" s="1145"/>
      <c r="Q45" s="452"/>
      <c r="R45" s="1152"/>
      <c r="S45" s="1152"/>
      <c r="T45" s="574"/>
      <c r="U45" s="452"/>
      <c r="V45" s="575"/>
      <c r="W45" s="452"/>
      <c r="X45" s="452"/>
      <c r="Y45" s="452"/>
      <c r="Z45" s="452"/>
      <c r="AA45" s="452"/>
      <c r="AB45" s="452"/>
      <c r="AC45" s="452"/>
      <c r="AD45" s="452"/>
      <c r="AE45" s="452"/>
      <c r="AF45" s="452"/>
      <c r="AG45" s="452"/>
      <c r="AH45" s="452"/>
      <c r="AI45" s="452"/>
      <c r="AJ45" s="452"/>
      <c r="AK45" s="452"/>
      <c r="AL45" s="509"/>
      <c r="AM45" s="509"/>
      <c r="AN45" s="509"/>
      <c r="AO45" s="509"/>
      <c r="AP45" s="509"/>
      <c r="AQ45" s="509"/>
      <c r="AR45" s="509"/>
      <c r="AS45" s="509"/>
    </row>
    <row r="46" spans="1:45" s="508" customFormat="1" ht="13.5" customHeight="1">
      <c r="A46" s="530"/>
      <c r="B46" s="700"/>
      <c r="C46" s="34"/>
      <c r="D46" s="36" t="s">
        <v>411</v>
      </c>
      <c r="E46" s="34"/>
      <c r="F46" s="1138">
        <f>1+1+1+1</f>
        <v>4</v>
      </c>
      <c r="G46" s="532"/>
      <c r="H46" s="532"/>
      <c r="I46" s="533"/>
      <c r="J46" s="1150"/>
      <c r="K46" s="569"/>
      <c r="L46" s="569"/>
      <c r="M46" s="1147"/>
      <c r="N46" s="1147"/>
      <c r="O46" s="1145"/>
      <c r="P46" s="1145"/>
      <c r="Q46" s="452"/>
      <c r="R46" s="1152"/>
      <c r="S46" s="1152"/>
      <c r="T46" s="574"/>
      <c r="U46" s="452"/>
      <c r="V46" s="575"/>
      <c r="W46" s="452"/>
      <c r="X46" s="452"/>
      <c r="Y46" s="452"/>
      <c r="Z46" s="452"/>
      <c r="AA46" s="452"/>
      <c r="AB46" s="452"/>
      <c r="AC46" s="452"/>
      <c r="AD46" s="452"/>
      <c r="AE46" s="452"/>
      <c r="AF46" s="452"/>
      <c r="AG46" s="452"/>
      <c r="AH46" s="452"/>
      <c r="AI46" s="452"/>
      <c r="AJ46" s="452"/>
      <c r="AK46" s="452"/>
      <c r="AL46" s="509"/>
      <c r="AM46" s="509"/>
      <c r="AN46" s="509"/>
      <c r="AO46" s="509"/>
      <c r="AP46" s="509"/>
      <c r="AQ46" s="509"/>
      <c r="AR46" s="509"/>
      <c r="AS46" s="509"/>
    </row>
    <row r="47" spans="1:45" s="508" customFormat="1" ht="13.5" customHeight="1">
      <c r="A47" s="530"/>
      <c r="B47" s="700"/>
      <c r="C47" s="34"/>
      <c r="D47" s="36" t="s">
        <v>428</v>
      </c>
      <c r="E47" s="34"/>
      <c r="F47" s="1138">
        <v>1</v>
      </c>
      <c r="G47" s="532"/>
      <c r="H47" s="532"/>
      <c r="I47" s="533"/>
      <c r="J47" s="1151"/>
      <c r="K47" s="569"/>
      <c r="L47" s="569"/>
      <c r="M47" s="1148"/>
      <c r="N47" s="1148"/>
      <c r="O47" s="1149"/>
      <c r="P47" s="1145"/>
      <c r="Q47" s="452"/>
      <c r="R47" s="452"/>
      <c r="S47" s="452"/>
      <c r="T47" s="574"/>
      <c r="U47" s="452"/>
      <c r="V47" s="575"/>
      <c r="W47" s="452"/>
      <c r="X47" s="452"/>
      <c r="Y47" s="452"/>
      <c r="Z47" s="452"/>
      <c r="AA47" s="452"/>
      <c r="AB47" s="452"/>
      <c r="AC47" s="452"/>
      <c r="AD47" s="452"/>
      <c r="AE47" s="452"/>
      <c r="AF47" s="452"/>
      <c r="AG47" s="452"/>
      <c r="AH47" s="452"/>
      <c r="AI47" s="452"/>
      <c r="AJ47" s="452"/>
      <c r="AK47" s="452"/>
      <c r="AL47" s="509"/>
      <c r="AM47" s="509"/>
      <c r="AN47" s="509"/>
      <c r="AO47" s="509"/>
      <c r="AP47" s="509"/>
      <c r="AQ47" s="509"/>
      <c r="AR47" s="509"/>
      <c r="AS47" s="509"/>
    </row>
    <row r="48" spans="1:45" s="508" customFormat="1" ht="13.5" customHeight="1">
      <c r="A48" s="530"/>
      <c r="B48" s="700"/>
      <c r="C48" s="34"/>
      <c r="D48" s="36" t="s">
        <v>108</v>
      </c>
      <c r="E48" s="34"/>
      <c r="F48" s="509"/>
      <c r="G48" s="532"/>
      <c r="H48" s="532"/>
      <c r="I48" s="533"/>
      <c r="J48" s="1150"/>
      <c r="K48" s="569"/>
      <c r="L48" s="569"/>
      <c r="M48" s="1147"/>
      <c r="N48" s="1147"/>
      <c r="O48" s="1145"/>
      <c r="P48" s="1145"/>
      <c r="Q48" s="452"/>
      <c r="R48" s="1152"/>
      <c r="S48" s="1152"/>
      <c r="T48" s="574"/>
      <c r="U48" s="452"/>
      <c r="V48" s="575"/>
      <c r="W48" s="452"/>
      <c r="X48" s="452"/>
      <c r="Y48" s="452"/>
      <c r="Z48" s="452"/>
      <c r="AA48" s="452"/>
      <c r="AB48" s="452"/>
      <c r="AC48" s="452"/>
      <c r="AD48" s="452"/>
      <c r="AE48" s="452"/>
      <c r="AF48" s="452"/>
      <c r="AG48" s="452"/>
      <c r="AH48" s="452"/>
      <c r="AI48" s="452"/>
      <c r="AJ48" s="452"/>
      <c r="AK48" s="452"/>
      <c r="AL48" s="509"/>
      <c r="AM48" s="509"/>
      <c r="AN48" s="509"/>
      <c r="AO48" s="509"/>
      <c r="AP48" s="509"/>
      <c r="AQ48" s="509"/>
      <c r="AR48" s="509"/>
      <c r="AS48" s="509"/>
    </row>
    <row r="49" spans="1:45" s="508" customFormat="1" ht="13.5" customHeight="1">
      <c r="A49" s="530">
        <v>9</v>
      </c>
      <c r="B49" s="700" t="s">
        <v>96</v>
      </c>
      <c r="C49" s="34">
        <v>112251103</v>
      </c>
      <c r="D49" s="34" t="s">
        <v>110</v>
      </c>
      <c r="E49" s="34" t="s">
        <v>102</v>
      </c>
      <c r="F49" s="531">
        <f>SUM(F50:F50)</f>
        <v>1</v>
      </c>
      <c r="G49" s="79"/>
      <c r="H49" s="532">
        <f>F49*G49</f>
        <v>0</v>
      </c>
      <c r="I49" s="533" t="s">
        <v>738</v>
      </c>
      <c r="J49" s="1150"/>
      <c r="K49" s="569"/>
      <c r="L49" s="569"/>
      <c r="M49" s="1147"/>
      <c r="N49" s="1147"/>
      <c r="O49" s="1145"/>
      <c r="P49" s="1145"/>
      <c r="Q49" s="452"/>
      <c r="R49" s="1152"/>
      <c r="S49" s="1152"/>
      <c r="T49" s="574"/>
      <c r="U49" s="452"/>
      <c r="V49" s="575"/>
      <c r="W49" s="452"/>
      <c r="X49" s="452"/>
      <c r="Y49" s="452"/>
      <c r="Z49" s="452"/>
      <c r="AA49" s="452"/>
      <c r="AB49" s="452"/>
      <c r="AC49" s="452"/>
      <c r="AD49" s="452"/>
      <c r="AE49" s="452"/>
      <c r="AF49" s="452"/>
      <c r="AG49" s="452"/>
      <c r="AH49" s="452"/>
      <c r="AI49" s="452"/>
      <c r="AJ49" s="452"/>
      <c r="AK49" s="452"/>
      <c r="AL49" s="509"/>
      <c r="AM49" s="509"/>
      <c r="AN49" s="509"/>
      <c r="AO49" s="509"/>
      <c r="AP49" s="509"/>
      <c r="AQ49" s="509"/>
      <c r="AR49" s="509"/>
      <c r="AS49" s="509"/>
    </row>
    <row r="50" spans="1:45" s="508" customFormat="1" ht="13.5" customHeight="1">
      <c r="A50" s="530"/>
      <c r="B50" s="700"/>
      <c r="C50" s="34"/>
      <c r="D50" s="36" t="s">
        <v>412</v>
      </c>
      <c r="E50" s="34"/>
      <c r="F50" s="1138">
        <f>1</f>
        <v>1</v>
      </c>
      <c r="G50" s="532"/>
      <c r="H50" s="532"/>
      <c r="I50" s="533"/>
      <c r="J50" s="1150"/>
      <c r="K50" s="569"/>
      <c r="L50" s="569"/>
      <c r="M50" s="1147"/>
      <c r="N50" s="1147"/>
      <c r="O50" s="1145"/>
      <c r="P50" s="1145"/>
      <c r="Q50" s="452"/>
      <c r="R50" s="1152"/>
      <c r="S50" s="1152"/>
      <c r="T50" s="574"/>
      <c r="U50" s="452"/>
      <c r="V50" s="575"/>
      <c r="W50" s="452"/>
      <c r="X50" s="452"/>
      <c r="Y50" s="452"/>
      <c r="Z50" s="452"/>
      <c r="AA50" s="452"/>
      <c r="AB50" s="452"/>
      <c r="AC50" s="452"/>
      <c r="AD50" s="452"/>
      <c r="AE50" s="452"/>
      <c r="AF50" s="452"/>
      <c r="AG50" s="452"/>
      <c r="AH50" s="452"/>
      <c r="AI50" s="452"/>
      <c r="AJ50" s="452"/>
      <c r="AK50" s="452"/>
      <c r="AL50" s="509"/>
      <c r="AM50" s="509"/>
      <c r="AN50" s="509"/>
      <c r="AO50" s="509"/>
      <c r="AP50" s="509"/>
      <c r="AQ50" s="509"/>
      <c r="AR50" s="509"/>
      <c r="AS50" s="509"/>
    </row>
    <row r="51" spans="1:45" s="508" customFormat="1" ht="13.5" customHeight="1">
      <c r="A51" s="530"/>
      <c r="B51" s="700"/>
      <c r="C51" s="34"/>
      <c r="D51" s="36" t="s">
        <v>108</v>
      </c>
      <c r="E51" s="34"/>
      <c r="F51" s="509"/>
      <c r="G51" s="532"/>
      <c r="H51" s="532"/>
      <c r="I51" s="533"/>
      <c r="J51" s="1150"/>
      <c r="K51" s="569"/>
      <c r="L51" s="569"/>
      <c r="M51" s="1147"/>
      <c r="N51" s="1147"/>
      <c r="O51" s="1145"/>
      <c r="P51" s="1145"/>
      <c r="Q51" s="452"/>
      <c r="R51" s="1152"/>
      <c r="S51" s="1152"/>
      <c r="T51" s="574"/>
      <c r="U51" s="452"/>
      <c r="V51" s="575"/>
      <c r="W51" s="452"/>
      <c r="X51" s="452"/>
      <c r="Y51" s="452"/>
      <c r="Z51" s="452"/>
      <c r="AA51" s="452"/>
      <c r="AB51" s="452"/>
      <c r="AC51" s="452"/>
      <c r="AD51" s="452"/>
      <c r="AE51" s="452"/>
      <c r="AF51" s="452"/>
      <c r="AG51" s="452"/>
      <c r="AH51" s="452"/>
      <c r="AI51" s="452"/>
      <c r="AJ51" s="452"/>
      <c r="AK51" s="452"/>
      <c r="AL51" s="509"/>
      <c r="AM51" s="509"/>
      <c r="AN51" s="509"/>
      <c r="AO51" s="509"/>
      <c r="AP51" s="509"/>
      <c r="AQ51" s="509"/>
      <c r="AR51" s="509"/>
      <c r="AS51" s="509"/>
    </row>
    <row r="52" spans="1:45" s="508" customFormat="1" ht="13.5" customHeight="1">
      <c r="A52" s="530">
        <v>10</v>
      </c>
      <c r="B52" s="700" t="s">
        <v>96</v>
      </c>
      <c r="C52" s="34">
        <v>112251104</v>
      </c>
      <c r="D52" s="34" t="s">
        <v>111</v>
      </c>
      <c r="E52" s="34" t="s">
        <v>102</v>
      </c>
      <c r="F52" s="531">
        <f>SUM(F53:F53)</f>
        <v>1</v>
      </c>
      <c r="G52" s="79"/>
      <c r="H52" s="532">
        <f>F52*G52</f>
        <v>0</v>
      </c>
      <c r="I52" s="533" t="s">
        <v>738</v>
      </c>
      <c r="J52" s="1150"/>
      <c r="K52" s="569"/>
      <c r="L52" s="569"/>
      <c r="M52" s="1147"/>
      <c r="N52" s="1147"/>
      <c r="O52" s="1145"/>
      <c r="P52" s="1145"/>
      <c r="Q52" s="452"/>
      <c r="R52" s="1152"/>
      <c r="S52" s="1152"/>
      <c r="T52" s="574"/>
      <c r="U52" s="452"/>
      <c r="V52" s="575"/>
      <c r="W52" s="452"/>
      <c r="X52" s="452"/>
      <c r="Y52" s="452"/>
      <c r="Z52" s="452"/>
      <c r="AA52" s="452"/>
      <c r="AB52" s="452"/>
      <c r="AC52" s="452"/>
      <c r="AD52" s="452"/>
      <c r="AE52" s="452"/>
      <c r="AF52" s="452"/>
      <c r="AG52" s="452"/>
      <c r="AH52" s="452"/>
      <c r="AI52" s="452"/>
      <c r="AJ52" s="452"/>
      <c r="AK52" s="452"/>
      <c r="AL52" s="509"/>
      <c r="AM52" s="509"/>
      <c r="AN52" s="509"/>
      <c r="AO52" s="509"/>
      <c r="AP52" s="509"/>
      <c r="AQ52" s="509"/>
      <c r="AR52" s="509"/>
      <c r="AS52" s="509"/>
    </row>
    <row r="53" spans="1:45" s="508" customFormat="1" ht="13.5" customHeight="1">
      <c r="A53" s="530"/>
      <c r="B53" s="700"/>
      <c r="C53" s="34"/>
      <c r="D53" s="36" t="s">
        <v>413</v>
      </c>
      <c r="E53" s="34"/>
      <c r="F53" s="1138">
        <v>1</v>
      </c>
      <c r="G53" s="532"/>
      <c r="H53" s="532"/>
      <c r="I53" s="533"/>
      <c r="J53" s="1150"/>
      <c r="K53" s="569"/>
      <c r="L53" s="569"/>
      <c r="M53" s="1147"/>
      <c r="N53" s="1147"/>
      <c r="O53" s="1145"/>
      <c r="P53" s="1145"/>
      <c r="Q53" s="452"/>
      <c r="R53" s="1152"/>
      <c r="S53" s="1152"/>
      <c r="T53" s="574"/>
      <c r="U53" s="452"/>
      <c r="V53" s="575"/>
      <c r="W53" s="452"/>
      <c r="X53" s="452"/>
      <c r="Y53" s="452"/>
      <c r="Z53" s="452"/>
      <c r="AA53" s="452"/>
      <c r="AB53" s="452"/>
      <c r="AC53" s="452"/>
      <c r="AD53" s="452"/>
      <c r="AE53" s="452"/>
      <c r="AF53" s="452"/>
      <c r="AG53" s="452"/>
      <c r="AH53" s="452"/>
      <c r="AI53" s="452"/>
      <c r="AJ53" s="452"/>
      <c r="AK53" s="452"/>
      <c r="AL53" s="509"/>
      <c r="AM53" s="509"/>
      <c r="AN53" s="509"/>
      <c r="AO53" s="509"/>
      <c r="AP53" s="509"/>
      <c r="AQ53" s="509"/>
      <c r="AR53" s="509"/>
      <c r="AS53" s="509"/>
    </row>
    <row r="54" spans="1:45" s="508" customFormat="1" ht="13.5" customHeight="1">
      <c r="A54" s="530"/>
      <c r="B54" s="700"/>
      <c r="C54" s="34"/>
      <c r="D54" s="36" t="s">
        <v>108</v>
      </c>
      <c r="E54" s="34"/>
      <c r="F54" s="509"/>
      <c r="G54" s="532"/>
      <c r="H54" s="532"/>
      <c r="I54" s="533"/>
      <c r="J54" s="1151"/>
      <c r="K54" s="569"/>
      <c r="L54" s="569"/>
      <c r="M54" s="1147"/>
      <c r="N54" s="1147"/>
      <c r="O54" s="1145"/>
      <c r="P54" s="1145"/>
      <c r="Q54" s="452"/>
      <c r="R54" s="1152"/>
      <c r="S54" s="1152"/>
      <c r="T54" s="574"/>
      <c r="U54" s="452"/>
      <c r="V54" s="575"/>
      <c r="W54" s="452"/>
      <c r="X54" s="452"/>
      <c r="Y54" s="452"/>
      <c r="Z54" s="452"/>
      <c r="AA54" s="452"/>
      <c r="AB54" s="452"/>
      <c r="AC54" s="452"/>
      <c r="AD54" s="452"/>
      <c r="AE54" s="452"/>
      <c r="AF54" s="452"/>
      <c r="AG54" s="452"/>
      <c r="AH54" s="452"/>
      <c r="AI54" s="452"/>
      <c r="AJ54" s="452"/>
      <c r="AK54" s="452"/>
      <c r="AL54" s="509"/>
      <c r="AM54" s="509"/>
      <c r="AN54" s="509"/>
      <c r="AO54" s="509"/>
      <c r="AP54" s="509"/>
      <c r="AQ54" s="509"/>
      <c r="AR54" s="509"/>
      <c r="AS54" s="509"/>
    </row>
    <row r="55" spans="1:45" s="508" customFormat="1" ht="13.5" customHeight="1">
      <c r="A55" s="530">
        <v>11</v>
      </c>
      <c r="B55" s="700" t="s">
        <v>96</v>
      </c>
      <c r="C55" s="34">
        <v>112251105</v>
      </c>
      <c r="D55" s="34" t="s">
        <v>415</v>
      </c>
      <c r="E55" s="34" t="s">
        <v>102</v>
      </c>
      <c r="F55" s="531">
        <f>SUM(F56:F56)</f>
        <v>1</v>
      </c>
      <c r="G55" s="79"/>
      <c r="H55" s="532">
        <f>F55*G55</f>
        <v>0</v>
      </c>
      <c r="I55" s="533" t="s">
        <v>738</v>
      </c>
      <c r="J55" s="1150"/>
      <c r="K55" s="569"/>
      <c r="L55" s="569"/>
      <c r="M55" s="1147"/>
      <c r="N55" s="1147"/>
      <c r="O55" s="1145"/>
      <c r="P55" s="1145"/>
      <c r="Q55" s="452"/>
      <c r="R55" s="1152"/>
      <c r="S55" s="1152"/>
      <c r="T55" s="574"/>
      <c r="U55" s="452"/>
      <c r="V55" s="575"/>
      <c r="W55" s="452"/>
      <c r="X55" s="452"/>
      <c r="Y55" s="452"/>
      <c r="Z55" s="452"/>
      <c r="AA55" s="452"/>
      <c r="AB55" s="452"/>
      <c r="AC55" s="452"/>
      <c r="AD55" s="452"/>
      <c r="AE55" s="452"/>
      <c r="AF55" s="452"/>
      <c r="AG55" s="452"/>
      <c r="AH55" s="452"/>
      <c r="AI55" s="452"/>
      <c r="AJ55" s="452"/>
      <c r="AK55" s="452"/>
      <c r="AL55" s="509"/>
      <c r="AM55" s="509"/>
      <c r="AN55" s="509"/>
      <c r="AO55" s="509"/>
      <c r="AP55" s="509"/>
      <c r="AQ55" s="509"/>
      <c r="AR55" s="509"/>
      <c r="AS55" s="509"/>
    </row>
    <row r="56" spans="1:45" s="508" customFormat="1" ht="13.5" customHeight="1">
      <c r="A56" s="530"/>
      <c r="B56" s="700"/>
      <c r="C56" s="34"/>
      <c r="D56" s="36" t="s">
        <v>414</v>
      </c>
      <c r="E56" s="34"/>
      <c r="F56" s="1138">
        <v>1</v>
      </c>
      <c r="G56" s="532"/>
      <c r="H56" s="532"/>
      <c r="I56" s="533"/>
      <c r="J56" s="1150"/>
      <c r="K56" s="569"/>
      <c r="L56" s="569"/>
      <c r="M56" s="1147"/>
      <c r="N56" s="1147"/>
      <c r="O56" s="1145"/>
      <c r="P56" s="1145"/>
      <c r="Q56" s="452"/>
      <c r="R56" s="1152"/>
      <c r="S56" s="1152"/>
      <c r="T56" s="574"/>
      <c r="U56" s="452"/>
      <c r="V56" s="575"/>
      <c r="W56" s="452"/>
      <c r="X56" s="452"/>
      <c r="Y56" s="452"/>
      <c r="Z56" s="452"/>
      <c r="AA56" s="452"/>
      <c r="AB56" s="452"/>
      <c r="AC56" s="452"/>
      <c r="AD56" s="452"/>
      <c r="AE56" s="452"/>
      <c r="AF56" s="452"/>
      <c r="AG56" s="452"/>
      <c r="AH56" s="452"/>
      <c r="AI56" s="452"/>
      <c r="AJ56" s="452"/>
      <c r="AK56" s="452"/>
      <c r="AL56" s="509"/>
      <c r="AM56" s="509"/>
      <c r="AN56" s="509"/>
      <c r="AO56" s="509"/>
      <c r="AP56" s="509"/>
      <c r="AQ56" s="509"/>
      <c r="AR56" s="509"/>
      <c r="AS56" s="509"/>
    </row>
    <row r="57" spans="1:45" s="508" customFormat="1" ht="13.5" customHeight="1">
      <c r="A57" s="530"/>
      <c r="B57" s="700"/>
      <c r="C57" s="34"/>
      <c r="D57" s="36" t="s">
        <v>108</v>
      </c>
      <c r="E57" s="34"/>
      <c r="F57" s="509"/>
      <c r="G57" s="532"/>
      <c r="H57" s="532"/>
      <c r="I57" s="533"/>
      <c r="J57" s="1150"/>
      <c r="K57" s="569"/>
      <c r="L57" s="569"/>
      <c r="M57" s="1147"/>
      <c r="N57" s="1147"/>
      <c r="O57" s="1145"/>
      <c r="P57" s="1145"/>
      <c r="Q57" s="452"/>
      <c r="R57" s="1152"/>
      <c r="S57" s="1152"/>
      <c r="T57" s="574"/>
      <c r="U57" s="452"/>
      <c r="V57" s="575"/>
      <c r="W57" s="452"/>
      <c r="X57" s="452"/>
      <c r="Y57" s="452"/>
      <c r="Z57" s="452"/>
      <c r="AA57" s="452"/>
      <c r="AB57" s="452"/>
      <c r="AC57" s="452"/>
      <c r="AD57" s="452"/>
      <c r="AE57" s="452"/>
      <c r="AF57" s="452"/>
      <c r="AG57" s="452"/>
      <c r="AH57" s="452"/>
      <c r="AI57" s="452"/>
      <c r="AJ57" s="452"/>
      <c r="AK57" s="452"/>
      <c r="AL57" s="509"/>
      <c r="AM57" s="509"/>
      <c r="AN57" s="509"/>
      <c r="AO57" s="509"/>
      <c r="AP57" s="509"/>
      <c r="AQ57" s="509"/>
      <c r="AR57" s="509"/>
      <c r="AS57" s="509"/>
    </row>
    <row r="58" spans="1:45" s="508" customFormat="1" ht="13.5" customHeight="1">
      <c r="A58" s="530">
        <v>12</v>
      </c>
      <c r="B58" s="700" t="s">
        <v>96</v>
      </c>
      <c r="C58" s="34">
        <v>112251108</v>
      </c>
      <c r="D58" s="34" t="s">
        <v>416</v>
      </c>
      <c r="E58" s="34" t="s">
        <v>102</v>
      </c>
      <c r="F58" s="531">
        <f>SUM(F59:F59)</f>
        <v>1</v>
      </c>
      <c r="G58" s="79"/>
      <c r="H58" s="532">
        <f>F58*G58</f>
        <v>0</v>
      </c>
      <c r="I58" s="533" t="s">
        <v>738</v>
      </c>
      <c r="J58" s="1150"/>
      <c r="K58" s="569"/>
      <c r="L58" s="569"/>
      <c r="M58" s="1147"/>
      <c r="N58" s="1147"/>
      <c r="O58" s="1145"/>
      <c r="P58" s="1145"/>
      <c r="Q58" s="452"/>
      <c r="R58" s="1152"/>
      <c r="S58" s="1152"/>
      <c r="T58" s="574"/>
      <c r="U58" s="452"/>
      <c r="V58" s="575"/>
      <c r="W58" s="452"/>
      <c r="X58" s="452"/>
      <c r="Y58" s="452"/>
      <c r="Z58" s="452"/>
      <c r="AA58" s="452"/>
      <c r="AB58" s="452"/>
      <c r="AC58" s="452"/>
      <c r="AD58" s="452"/>
      <c r="AE58" s="452"/>
      <c r="AF58" s="452"/>
      <c r="AG58" s="452"/>
      <c r="AH58" s="452"/>
      <c r="AI58" s="452"/>
      <c r="AJ58" s="452"/>
      <c r="AK58" s="452"/>
      <c r="AL58" s="509"/>
      <c r="AM58" s="509"/>
      <c r="AN58" s="509"/>
      <c r="AO58" s="509"/>
      <c r="AP58" s="509"/>
      <c r="AQ58" s="509"/>
      <c r="AR58" s="509"/>
      <c r="AS58" s="509"/>
    </row>
    <row r="59" spans="1:45" s="508" customFormat="1" ht="13.5" customHeight="1">
      <c r="A59" s="530"/>
      <c r="B59" s="700"/>
      <c r="C59" s="34"/>
      <c r="D59" s="36" t="s">
        <v>417</v>
      </c>
      <c r="E59" s="34"/>
      <c r="F59" s="1138">
        <v>1</v>
      </c>
      <c r="G59" s="532"/>
      <c r="H59" s="532"/>
      <c r="I59" s="533"/>
      <c r="J59" s="1150"/>
      <c r="K59" s="569"/>
      <c r="L59" s="569"/>
      <c r="M59" s="1147"/>
      <c r="N59" s="1147"/>
      <c r="O59" s="1145"/>
      <c r="P59" s="1145"/>
      <c r="Q59" s="452"/>
      <c r="R59" s="1152"/>
      <c r="S59" s="1152"/>
      <c r="T59" s="574"/>
      <c r="U59" s="452"/>
      <c r="V59" s="575"/>
      <c r="W59" s="452"/>
      <c r="X59" s="452"/>
      <c r="Y59" s="452"/>
      <c r="Z59" s="452"/>
      <c r="AA59" s="452"/>
      <c r="AB59" s="452"/>
      <c r="AC59" s="452"/>
      <c r="AD59" s="452"/>
      <c r="AE59" s="452"/>
      <c r="AF59" s="452"/>
      <c r="AG59" s="452"/>
      <c r="AH59" s="452"/>
      <c r="AI59" s="452"/>
      <c r="AJ59" s="452"/>
      <c r="AK59" s="452"/>
      <c r="AL59" s="509"/>
      <c r="AM59" s="509"/>
      <c r="AN59" s="509"/>
      <c r="AO59" s="509"/>
      <c r="AP59" s="509"/>
      <c r="AQ59" s="509"/>
      <c r="AR59" s="509"/>
      <c r="AS59" s="509"/>
    </row>
    <row r="60" spans="1:45" s="508" customFormat="1" ht="13.5" customHeight="1">
      <c r="A60" s="530"/>
      <c r="B60" s="700"/>
      <c r="C60" s="34"/>
      <c r="D60" s="36" t="s">
        <v>108</v>
      </c>
      <c r="E60" s="34"/>
      <c r="F60" s="509"/>
      <c r="G60" s="532"/>
      <c r="H60" s="532"/>
      <c r="I60" s="533"/>
      <c r="J60" s="1150"/>
      <c r="K60" s="569"/>
      <c r="L60" s="569"/>
      <c r="M60" s="1147"/>
      <c r="N60" s="1147"/>
      <c r="O60" s="1145"/>
      <c r="P60" s="1145"/>
      <c r="Q60" s="452"/>
      <c r="R60" s="1152"/>
      <c r="S60" s="1152"/>
      <c r="T60" s="574"/>
      <c r="U60" s="452"/>
      <c r="V60" s="575"/>
      <c r="W60" s="452"/>
      <c r="X60" s="452"/>
      <c r="Y60" s="452"/>
      <c r="Z60" s="452"/>
      <c r="AA60" s="452"/>
      <c r="AB60" s="452"/>
      <c r="AC60" s="452"/>
      <c r="AD60" s="452"/>
      <c r="AE60" s="452"/>
      <c r="AF60" s="452"/>
      <c r="AG60" s="452"/>
      <c r="AH60" s="452"/>
      <c r="AI60" s="452"/>
      <c r="AJ60" s="452"/>
      <c r="AK60" s="452"/>
      <c r="AL60" s="509"/>
      <c r="AM60" s="509"/>
      <c r="AN60" s="509"/>
      <c r="AO60" s="509"/>
      <c r="AP60" s="509"/>
      <c r="AQ60" s="509"/>
      <c r="AR60" s="509"/>
      <c r="AS60" s="509"/>
    </row>
    <row r="61" spans="1:45" s="335" customFormat="1" ht="13.5" customHeight="1">
      <c r="A61" s="379">
        <v>13</v>
      </c>
      <c r="B61" s="85">
        <v>221</v>
      </c>
      <c r="C61" s="85">
        <v>113106123</v>
      </c>
      <c r="D61" s="85" t="s">
        <v>112</v>
      </c>
      <c r="E61" s="85" t="s">
        <v>98</v>
      </c>
      <c r="F61" s="998">
        <f>SUM(F62:F63)</f>
        <v>40.200000000000003</v>
      </c>
      <c r="G61" s="86"/>
      <c r="H61" s="380">
        <f>F61*G61</f>
        <v>0</v>
      </c>
      <c r="I61" s="533" t="s">
        <v>738</v>
      </c>
      <c r="J61" s="1000"/>
      <c r="K61" s="1001"/>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33"/>
      <c r="AL61" s="333"/>
      <c r="AM61" s="333"/>
      <c r="AN61" s="333"/>
      <c r="AO61" s="333"/>
      <c r="AP61" s="333"/>
      <c r="AQ61" s="333"/>
      <c r="AR61" s="333"/>
      <c r="AS61" s="333"/>
    </row>
    <row r="62" spans="1:45" s="335" customFormat="1" ht="13.5" customHeight="1">
      <c r="A62" s="434"/>
      <c r="B62" s="435"/>
      <c r="C62" s="456"/>
      <c r="D62" s="456" t="s">
        <v>377</v>
      </c>
      <c r="E62" s="456"/>
      <c r="F62" s="337">
        <f>15.75</f>
        <v>15.75</v>
      </c>
      <c r="G62" s="999"/>
      <c r="H62" s="999"/>
      <c r="I62" s="549"/>
      <c r="J62" s="1000"/>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3"/>
      <c r="AL62" s="333"/>
      <c r="AM62" s="333"/>
      <c r="AN62" s="333"/>
      <c r="AO62" s="333"/>
      <c r="AP62" s="333"/>
      <c r="AQ62" s="333"/>
      <c r="AR62" s="333"/>
      <c r="AS62" s="333"/>
    </row>
    <row r="63" spans="1:45" s="335" customFormat="1" ht="13.5" customHeight="1">
      <c r="A63" s="434"/>
      <c r="B63" s="435"/>
      <c r="C63" s="456"/>
      <c r="D63" s="456" t="s">
        <v>378</v>
      </c>
      <c r="E63" s="456"/>
      <c r="F63" s="337">
        <f>24.45</f>
        <v>24.45</v>
      </c>
      <c r="G63" s="999"/>
      <c r="H63" s="999"/>
      <c r="I63" s="549"/>
      <c r="J63" s="1000"/>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3"/>
      <c r="AL63" s="333"/>
      <c r="AM63" s="333"/>
      <c r="AN63" s="333"/>
      <c r="AO63" s="333"/>
      <c r="AP63" s="333"/>
      <c r="AQ63" s="333"/>
      <c r="AR63" s="333"/>
      <c r="AS63" s="333"/>
    </row>
    <row r="64" spans="1:45" s="541" customFormat="1" ht="13.5" customHeight="1">
      <c r="A64" s="535">
        <v>14</v>
      </c>
      <c r="B64" s="537">
        <v>221</v>
      </c>
      <c r="C64" s="537">
        <v>113107163</v>
      </c>
      <c r="D64" s="537" t="s">
        <v>374</v>
      </c>
      <c r="E64" s="537" t="s">
        <v>98</v>
      </c>
      <c r="F64" s="538">
        <f>SUM(F66:F66)</f>
        <v>176.3</v>
      </c>
      <c r="G64" s="90"/>
      <c r="H64" s="539">
        <f>F64*G64</f>
        <v>0</v>
      </c>
      <c r="I64" s="533" t="s">
        <v>738</v>
      </c>
      <c r="J64" s="1153"/>
      <c r="K64" s="452"/>
      <c r="L64" s="452"/>
      <c r="M64" s="459"/>
      <c r="N64" s="1154"/>
      <c r="O64" s="1155"/>
      <c r="P64" s="459"/>
      <c r="Q64" s="459"/>
      <c r="R64" s="1156"/>
      <c r="S64" s="1157"/>
      <c r="T64" s="452"/>
      <c r="U64" s="452"/>
      <c r="V64" s="452"/>
      <c r="W64" s="452"/>
      <c r="X64" s="452"/>
      <c r="Y64" s="452"/>
      <c r="Z64" s="452"/>
      <c r="AA64" s="452"/>
      <c r="AB64" s="452"/>
      <c r="AC64" s="452"/>
      <c r="AD64" s="452"/>
      <c r="AE64" s="452"/>
      <c r="AF64" s="452"/>
      <c r="AG64" s="452"/>
      <c r="AH64" s="452"/>
      <c r="AI64" s="452"/>
      <c r="AJ64" s="452"/>
      <c r="AK64" s="452"/>
      <c r="AL64" s="452"/>
      <c r="AM64" s="452"/>
      <c r="AN64" s="452"/>
      <c r="AO64" s="452"/>
      <c r="AP64" s="452"/>
      <c r="AQ64" s="452"/>
      <c r="AR64" s="452"/>
      <c r="AS64" s="452"/>
    </row>
    <row r="65" spans="1:256" s="541" customFormat="1" ht="13.5" customHeight="1">
      <c r="A65" s="535"/>
      <c r="B65" s="537"/>
      <c r="C65" s="537"/>
      <c r="D65" s="542" t="s">
        <v>375</v>
      </c>
      <c r="E65" s="537"/>
      <c r="F65" s="538"/>
      <c r="G65" s="539"/>
      <c r="H65" s="539"/>
      <c r="I65" s="545"/>
      <c r="J65" s="1153"/>
      <c r="K65" s="452"/>
      <c r="L65" s="452"/>
      <c r="M65" s="452"/>
      <c r="N65" s="452"/>
      <c r="O65" s="452"/>
      <c r="P65" s="452"/>
      <c r="Q65" s="452"/>
      <c r="R65" s="452"/>
      <c r="S65" s="452"/>
      <c r="T65" s="452"/>
      <c r="U65" s="452"/>
      <c r="V65" s="452"/>
      <c r="W65" s="452"/>
      <c r="X65" s="452"/>
      <c r="Y65" s="452"/>
      <c r="Z65" s="452"/>
      <c r="AA65" s="452"/>
      <c r="AB65" s="452"/>
      <c r="AC65" s="452"/>
      <c r="AD65" s="452"/>
      <c r="AE65" s="452"/>
      <c r="AF65" s="452"/>
      <c r="AG65" s="452"/>
      <c r="AH65" s="452"/>
      <c r="AI65" s="452"/>
      <c r="AJ65" s="452"/>
      <c r="AK65" s="452"/>
      <c r="AL65" s="452"/>
      <c r="AM65" s="452"/>
      <c r="AN65" s="452"/>
      <c r="AO65" s="452"/>
      <c r="AP65" s="452"/>
      <c r="AQ65" s="452"/>
      <c r="AR65" s="452"/>
      <c r="AS65" s="452"/>
    </row>
    <row r="66" spans="1:256" s="541" customFormat="1" ht="13.5" customHeight="1">
      <c r="A66" s="535"/>
      <c r="B66" s="537"/>
      <c r="C66" s="537"/>
      <c r="D66" s="542" t="s">
        <v>376</v>
      </c>
      <c r="E66" s="537"/>
      <c r="F66" s="543">
        <f>176.3</f>
        <v>176.3</v>
      </c>
      <c r="G66" s="539"/>
      <c r="H66" s="539"/>
      <c r="I66" s="545"/>
      <c r="J66" s="1153"/>
      <c r="K66" s="452"/>
      <c r="L66" s="452"/>
      <c r="M66" s="452"/>
      <c r="N66" s="452"/>
      <c r="O66" s="452"/>
      <c r="P66" s="452"/>
      <c r="Q66" s="452"/>
      <c r="R66" s="452"/>
      <c r="S66" s="452"/>
      <c r="T66" s="452"/>
      <c r="U66" s="452"/>
      <c r="V66" s="452"/>
      <c r="W66" s="452"/>
      <c r="X66" s="452"/>
      <c r="Y66" s="452"/>
      <c r="Z66" s="452"/>
      <c r="AA66" s="452"/>
      <c r="AB66" s="452"/>
      <c r="AC66" s="452"/>
      <c r="AD66" s="452"/>
      <c r="AE66" s="452"/>
      <c r="AF66" s="452"/>
      <c r="AG66" s="452"/>
      <c r="AH66" s="452"/>
      <c r="AI66" s="452"/>
      <c r="AJ66" s="452"/>
      <c r="AK66" s="452"/>
      <c r="AL66" s="452"/>
      <c r="AM66" s="452"/>
      <c r="AN66" s="452"/>
      <c r="AO66" s="452"/>
      <c r="AP66" s="452"/>
      <c r="AQ66" s="452"/>
      <c r="AR66" s="452"/>
      <c r="AS66" s="452"/>
    </row>
    <row r="67" spans="1:256" s="541" customFormat="1" ht="13.5" customHeight="1">
      <c r="A67" s="1158">
        <v>15</v>
      </c>
      <c r="B67" s="1074">
        <v>221</v>
      </c>
      <c r="C67" s="1074">
        <v>113107183</v>
      </c>
      <c r="D67" s="1074" t="s">
        <v>371</v>
      </c>
      <c r="E67" s="1074" t="s">
        <v>98</v>
      </c>
      <c r="F67" s="1096">
        <f>SUM(F69:F69)</f>
        <v>176.3</v>
      </c>
      <c r="G67" s="1209"/>
      <c r="H67" s="1159">
        <f>F67*G67</f>
        <v>0</v>
      </c>
      <c r="I67" s="533" t="s">
        <v>738</v>
      </c>
      <c r="J67" s="1160"/>
      <c r="K67" s="662"/>
      <c r="L67" s="662"/>
      <c r="M67" s="662"/>
      <c r="N67" s="662"/>
      <c r="O67" s="662"/>
      <c r="P67" s="662"/>
      <c r="Q67" s="662"/>
      <c r="R67" s="662"/>
      <c r="S67" s="662"/>
      <c r="T67" s="662"/>
      <c r="U67" s="662"/>
      <c r="V67" s="662"/>
      <c r="W67" s="662"/>
      <c r="X67" s="662"/>
      <c r="Y67" s="662"/>
      <c r="Z67" s="662"/>
      <c r="AA67" s="662"/>
      <c r="AB67" s="662"/>
      <c r="AC67" s="662"/>
      <c r="AD67" s="662"/>
      <c r="AE67" s="662"/>
      <c r="AF67" s="662"/>
      <c r="AG67" s="662"/>
      <c r="AH67" s="662"/>
      <c r="AI67" s="662"/>
      <c r="AJ67" s="662"/>
      <c r="AK67" s="662"/>
      <c r="AL67" s="662"/>
      <c r="AM67" s="662"/>
      <c r="AN67" s="662"/>
      <c r="AO67" s="662"/>
      <c r="AP67" s="662"/>
      <c r="AQ67" s="662"/>
      <c r="AR67" s="662"/>
      <c r="AS67" s="662"/>
      <c r="AT67" s="663"/>
      <c r="AU67" s="663"/>
      <c r="AV67" s="663"/>
      <c r="AW67" s="663"/>
      <c r="AX67" s="663"/>
      <c r="AY67" s="663"/>
      <c r="AZ67" s="663"/>
      <c r="BA67" s="663"/>
      <c r="BB67" s="663"/>
      <c r="BC67" s="663"/>
      <c r="BD67" s="663"/>
      <c r="BE67" s="663"/>
      <c r="BF67" s="663"/>
      <c r="BG67" s="663"/>
      <c r="BH67" s="663"/>
      <c r="BI67" s="663"/>
      <c r="BJ67" s="663"/>
      <c r="BK67" s="663"/>
      <c r="BL67" s="663"/>
      <c r="BM67" s="663"/>
      <c r="BN67" s="663"/>
      <c r="BO67" s="663"/>
      <c r="BP67" s="663"/>
      <c r="BQ67" s="663"/>
      <c r="BR67" s="663"/>
      <c r="BS67" s="663"/>
      <c r="BT67" s="663"/>
      <c r="BU67" s="663"/>
      <c r="BV67" s="663"/>
      <c r="BW67" s="663"/>
      <c r="BX67" s="663"/>
      <c r="BY67" s="663"/>
      <c r="BZ67" s="663"/>
      <c r="CA67" s="663"/>
      <c r="CB67" s="663"/>
      <c r="CC67" s="663"/>
      <c r="CD67" s="663"/>
      <c r="CE67" s="663"/>
      <c r="CF67" s="663"/>
      <c r="CG67" s="663"/>
      <c r="CH67" s="663"/>
      <c r="CI67" s="663"/>
      <c r="CJ67" s="663"/>
      <c r="CK67" s="663"/>
      <c r="CL67" s="663"/>
      <c r="CM67" s="663"/>
      <c r="CN67" s="663"/>
      <c r="CO67" s="663"/>
      <c r="CP67" s="663"/>
      <c r="CQ67" s="663"/>
      <c r="CR67" s="663"/>
      <c r="CS67" s="663"/>
      <c r="CT67" s="663"/>
      <c r="CU67" s="663"/>
      <c r="CV67" s="663"/>
      <c r="CW67" s="663"/>
      <c r="CX67" s="663"/>
      <c r="CY67" s="663"/>
      <c r="CZ67" s="663"/>
      <c r="DA67" s="663"/>
      <c r="DB67" s="663"/>
      <c r="DC67" s="663"/>
      <c r="DD67" s="663"/>
      <c r="DE67" s="663"/>
      <c r="DF67" s="663"/>
      <c r="DG67" s="663"/>
      <c r="DH67" s="663"/>
      <c r="DI67" s="663"/>
      <c r="DJ67" s="663"/>
      <c r="DK67" s="663"/>
      <c r="DL67" s="663"/>
      <c r="DM67" s="663"/>
      <c r="DN67" s="663"/>
      <c r="DO67" s="663"/>
      <c r="DP67" s="663"/>
      <c r="DQ67" s="663"/>
      <c r="DR67" s="663"/>
      <c r="DS67" s="663"/>
      <c r="DT67" s="663"/>
      <c r="DU67" s="663"/>
      <c r="DV67" s="663"/>
      <c r="DW67" s="663"/>
      <c r="DX67" s="663"/>
      <c r="DY67" s="663"/>
      <c r="DZ67" s="663"/>
      <c r="EA67" s="663"/>
      <c r="EB67" s="663"/>
      <c r="EC67" s="663"/>
      <c r="ED67" s="663"/>
      <c r="EE67" s="663"/>
      <c r="EF67" s="663"/>
      <c r="EG67" s="663"/>
      <c r="EH67" s="663"/>
      <c r="EI67" s="663"/>
      <c r="EJ67" s="663"/>
      <c r="EK67" s="663"/>
      <c r="EL67" s="663"/>
      <c r="EM67" s="663"/>
      <c r="EN67" s="663"/>
      <c r="EO67" s="663"/>
      <c r="EP67" s="663"/>
      <c r="EQ67" s="663"/>
      <c r="ER67" s="663"/>
      <c r="ES67" s="663"/>
      <c r="ET67" s="663"/>
      <c r="EU67" s="663"/>
      <c r="EV67" s="663"/>
      <c r="EW67" s="663"/>
      <c r="EX67" s="663"/>
      <c r="EY67" s="663"/>
      <c r="EZ67" s="663"/>
      <c r="FA67" s="663"/>
      <c r="FB67" s="663"/>
      <c r="FC67" s="663"/>
      <c r="FD67" s="663"/>
      <c r="FE67" s="663"/>
      <c r="FF67" s="663"/>
      <c r="FG67" s="663"/>
      <c r="FH67" s="663"/>
      <c r="FI67" s="663"/>
      <c r="FJ67" s="663"/>
      <c r="FK67" s="663"/>
      <c r="FL67" s="663"/>
      <c r="FM67" s="663"/>
      <c r="FN67" s="663"/>
      <c r="FO67" s="663"/>
      <c r="FP67" s="663"/>
      <c r="FQ67" s="663"/>
      <c r="FR67" s="663"/>
      <c r="FS67" s="663"/>
      <c r="FT67" s="663"/>
      <c r="FU67" s="663"/>
      <c r="FV67" s="663"/>
      <c r="FW67" s="663"/>
      <c r="FX67" s="663"/>
      <c r="FY67" s="663"/>
      <c r="FZ67" s="663"/>
      <c r="GA67" s="663"/>
      <c r="GB67" s="663"/>
      <c r="GC67" s="663"/>
      <c r="GD67" s="663"/>
      <c r="GE67" s="663"/>
      <c r="GF67" s="663"/>
      <c r="GG67" s="663"/>
      <c r="GH67" s="663"/>
      <c r="GI67" s="663"/>
      <c r="GJ67" s="663"/>
      <c r="GK67" s="663"/>
      <c r="GL67" s="663"/>
      <c r="GM67" s="663"/>
      <c r="GN67" s="663"/>
      <c r="GO67" s="663"/>
      <c r="GP67" s="663"/>
      <c r="GQ67" s="663"/>
      <c r="GR67" s="663"/>
      <c r="GS67" s="663"/>
      <c r="GT67" s="663"/>
      <c r="GU67" s="663"/>
      <c r="GV67" s="663"/>
      <c r="GW67" s="663"/>
      <c r="GX67" s="663"/>
      <c r="GY67" s="663"/>
      <c r="GZ67" s="663"/>
      <c r="HA67" s="663"/>
      <c r="HB67" s="663"/>
      <c r="HC67" s="663"/>
      <c r="HD67" s="663"/>
      <c r="HE67" s="663"/>
      <c r="HF67" s="663"/>
      <c r="HG67" s="663"/>
      <c r="HH67" s="663"/>
      <c r="HI67" s="663"/>
      <c r="HJ67" s="663"/>
      <c r="HK67" s="663"/>
      <c r="HL67" s="663"/>
      <c r="HM67" s="663"/>
      <c r="HN67" s="663"/>
      <c r="HO67" s="663"/>
      <c r="HP67" s="663"/>
      <c r="HQ67" s="663"/>
      <c r="HR67" s="663"/>
      <c r="HS67" s="663"/>
      <c r="HT67" s="663"/>
      <c r="HU67" s="663"/>
      <c r="HV67" s="663"/>
      <c r="HW67" s="663"/>
      <c r="HX67" s="663"/>
      <c r="HY67" s="663"/>
      <c r="HZ67" s="663"/>
      <c r="IA67" s="663"/>
      <c r="IB67" s="663"/>
      <c r="IC67" s="663"/>
      <c r="ID67" s="663"/>
      <c r="IE67" s="663"/>
      <c r="IF67" s="663"/>
      <c r="IG67" s="663"/>
      <c r="IH67" s="663"/>
      <c r="II67" s="663"/>
      <c r="IJ67" s="663"/>
      <c r="IK67" s="663"/>
      <c r="IL67" s="663"/>
      <c r="IM67" s="663"/>
      <c r="IN67" s="663"/>
      <c r="IO67" s="663"/>
      <c r="IP67" s="663"/>
      <c r="IQ67" s="663"/>
      <c r="IR67" s="663"/>
      <c r="IS67" s="663"/>
      <c r="IT67" s="663"/>
      <c r="IU67" s="663"/>
      <c r="IV67" s="663"/>
    </row>
    <row r="68" spans="1:256" s="541" customFormat="1" ht="27" customHeight="1">
      <c r="A68" s="1158"/>
      <c r="B68" s="1074"/>
      <c r="C68" s="1074"/>
      <c r="D68" s="547" t="s">
        <v>372</v>
      </c>
      <c r="E68" s="1074"/>
      <c r="F68" s="1096"/>
      <c r="G68" s="1159"/>
      <c r="H68" s="1159"/>
      <c r="I68" s="819"/>
      <c r="J68" s="1160"/>
      <c r="K68" s="662"/>
      <c r="L68" s="662"/>
      <c r="M68" s="662"/>
      <c r="N68" s="662"/>
      <c r="O68" s="662"/>
      <c r="P68" s="662"/>
      <c r="Q68" s="662"/>
      <c r="R68" s="662"/>
      <c r="S68" s="662"/>
      <c r="T68" s="662"/>
      <c r="U68" s="662"/>
      <c r="V68" s="662"/>
      <c r="W68" s="662"/>
      <c r="X68" s="662"/>
      <c r="Y68" s="662"/>
      <c r="Z68" s="662"/>
      <c r="AA68" s="662"/>
      <c r="AB68" s="662"/>
      <c r="AC68" s="662"/>
      <c r="AD68" s="662"/>
      <c r="AE68" s="662"/>
      <c r="AF68" s="662"/>
      <c r="AG68" s="662"/>
      <c r="AH68" s="662"/>
      <c r="AI68" s="662"/>
      <c r="AJ68" s="662"/>
      <c r="AK68" s="662"/>
      <c r="AL68" s="662"/>
      <c r="AM68" s="662"/>
      <c r="AN68" s="662"/>
      <c r="AO68" s="662"/>
      <c r="AP68" s="662"/>
      <c r="AQ68" s="662"/>
      <c r="AR68" s="662"/>
      <c r="AS68" s="662"/>
      <c r="AT68" s="663"/>
      <c r="AU68" s="663"/>
      <c r="AV68" s="663"/>
      <c r="AW68" s="663"/>
      <c r="AX68" s="663"/>
      <c r="AY68" s="663"/>
      <c r="AZ68" s="663"/>
      <c r="BA68" s="663"/>
      <c r="BB68" s="663"/>
      <c r="BC68" s="663"/>
      <c r="BD68" s="663"/>
      <c r="BE68" s="663"/>
      <c r="BF68" s="663"/>
      <c r="BG68" s="663"/>
      <c r="BH68" s="663"/>
      <c r="BI68" s="663"/>
      <c r="BJ68" s="663"/>
      <c r="BK68" s="663"/>
      <c r="BL68" s="663"/>
      <c r="BM68" s="663"/>
      <c r="BN68" s="663"/>
      <c r="BO68" s="663"/>
      <c r="BP68" s="663"/>
      <c r="BQ68" s="663"/>
      <c r="BR68" s="663"/>
      <c r="BS68" s="663"/>
      <c r="BT68" s="663"/>
      <c r="BU68" s="663"/>
      <c r="BV68" s="663"/>
      <c r="BW68" s="663"/>
      <c r="BX68" s="663"/>
      <c r="BY68" s="663"/>
      <c r="BZ68" s="663"/>
      <c r="CA68" s="663"/>
      <c r="CB68" s="663"/>
      <c r="CC68" s="663"/>
      <c r="CD68" s="663"/>
      <c r="CE68" s="663"/>
      <c r="CF68" s="663"/>
      <c r="CG68" s="663"/>
      <c r="CH68" s="663"/>
      <c r="CI68" s="663"/>
      <c r="CJ68" s="663"/>
      <c r="CK68" s="663"/>
      <c r="CL68" s="663"/>
      <c r="CM68" s="663"/>
      <c r="CN68" s="663"/>
      <c r="CO68" s="663"/>
      <c r="CP68" s="663"/>
      <c r="CQ68" s="663"/>
      <c r="CR68" s="663"/>
      <c r="CS68" s="663"/>
      <c r="CT68" s="663"/>
      <c r="CU68" s="663"/>
      <c r="CV68" s="663"/>
      <c r="CW68" s="663"/>
      <c r="CX68" s="663"/>
      <c r="CY68" s="663"/>
      <c r="CZ68" s="663"/>
      <c r="DA68" s="663"/>
      <c r="DB68" s="663"/>
      <c r="DC68" s="663"/>
      <c r="DD68" s="663"/>
      <c r="DE68" s="663"/>
      <c r="DF68" s="663"/>
      <c r="DG68" s="663"/>
      <c r="DH68" s="663"/>
      <c r="DI68" s="663"/>
      <c r="DJ68" s="663"/>
      <c r="DK68" s="663"/>
      <c r="DL68" s="663"/>
      <c r="DM68" s="663"/>
      <c r="DN68" s="663"/>
      <c r="DO68" s="663"/>
      <c r="DP68" s="663"/>
      <c r="DQ68" s="663"/>
      <c r="DR68" s="663"/>
      <c r="DS68" s="663"/>
      <c r="DT68" s="663"/>
      <c r="DU68" s="663"/>
      <c r="DV68" s="663"/>
      <c r="DW68" s="663"/>
      <c r="DX68" s="663"/>
      <c r="DY68" s="663"/>
      <c r="DZ68" s="663"/>
      <c r="EA68" s="663"/>
      <c r="EB68" s="663"/>
      <c r="EC68" s="663"/>
      <c r="ED68" s="663"/>
      <c r="EE68" s="663"/>
      <c r="EF68" s="663"/>
      <c r="EG68" s="663"/>
      <c r="EH68" s="663"/>
      <c r="EI68" s="663"/>
      <c r="EJ68" s="663"/>
      <c r="EK68" s="663"/>
      <c r="EL68" s="663"/>
      <c r="EM68" s="663"/>
      <c r="EN68" s="663"/>
      <c r="EO68" s="663"/>
      <c r="EP68" s="663"/>
      <c r="EQ68" s="663"/>
      <c r="ER68" s="663"/>
      <c r="ES68" s="663"/>
      <c r="ET68" s="663"/>
      <c r="EU68" s="663"/>
      <c r="EV68" s="663"/>
      <c r="EW68" s="663"/>
      <c r="EX68" s="663"/>
      <c r="EY68" s="663"/>
      <c r="EZ68" s="663"/>
      <c r="FA68" s="663"/>
      <c r="FB68" s="663"/>
      <c r="FC68" s="663"/>
      <c r="FD68" s="663"/>
      <c r="FE68" s="663"/>
      <c r="FF68" s="663"/>
      <c r="FG68" s="663"/>
      <c r="FH68" s="663"/>
      <c r="FI68" s="663"/>
      <c r="FJ68" s="663"/>
      <c r="FK68" s="663"/>
      <c r="FL68" s="663"/>
      <c r="FM68" s="663"/>
      <c r="FN68" s="663"/>
      <c r="FO68" s="663"/>
      <c r="FP68" s="663"/>
      <c r="FQ68" s="663"/>
      <c r="FR68" s="663"/>
      <c r="FS68" s="663"/>
      <c r="FT68" s="663"/>
      <c r="FU68" s="663"/>
      <c r="FV68" s="663"/>
      <c r="FW68" s="663"/>
      <c r="FX68" s="663"/>
      <c r="FY68" s="663"/>
      <c r="FZ68" s="663"/>
      <c r="GA68" s="663"/>
      <c r="GB68" s="663"/>
      <c r="GC68" s="663"/>
      <c r="GD68" s="663"/>
      <c r="GE68" s="663"/>
      <c r="GF68" s="663"/>
      <c r="GG68" s="663"/>
      <c r="GH68" s="663"/>
      <c r="GI68" s="663"/>
      <c r="GJ68" s="663"/>
      <c r="GK68" s="663"/>
      <c r="GL68" s="663"/>
      <c r="GM68" s="663"/>
      <c r="GN68" s="663"/>
      <c r="GO68" s="663"/>
      <c r="GP68" s="663"/>
      <c r="GQ68" s="663"/>
      <c r="GR68" s="663"/>
      <c r="GS68" s="663"/>
      <c r="GT68" s="663"/>
      <c r="GU68" s="663"/>
      <c r="GV68" s="663"/>
      <c r="GW68" s="663"/>
      <c r="GX68" s="663"/>
      <c r="GY68" s="663"/>
      <c r="GZ68" s="663"/>
      <c r="HA68" s="663"/>
      <c r="HB68" s="663"/>
      <c r="HC68" s="663"/>
      <c r="HD68" s="663"/>
      <c r="HE68" s="663"/>
      <c r="HF68" s="663"/>
      <c r="HG68" s="663"/>
      <c r="HH68" s="663"/>
      <c r="HI68" s="663"/>
      <c r="HJ68" s="663"/>
      <c r="HK68" s="663"/>
      <c r="HL68" s="663"/>
      <c r="HM68" s="663"/>
      <c r="HN68" s="663"/>
      <c r="HO68" s="663"/>
      <c r="HP68" s="663"/>
      <c r="HQ68" s="663"/>
      <c r="HR68" s="663"/>
      <c r="HS68" s="663"/>
      <c r="HT68" s="663"/>
      <c r="HU68" s="663"/>
      <c r="HV68" s="663"/>
      <c r="HW68" s="663"/>
      <c r="HX68" s="663"/>
      <c r="HY68" s="663"/>
      <c r="HZ68" s="663"/>
      <c r="IA68" s="663"/>
      <c r="IB68" s="663"/>
      <c r="IC68" s="663"/>
      <c r="ID68" s="663"/>
      <c r="IE68" s="663"/>
      <c r="IF68" s="663"/>
      <c r="IG68" s="663"/>
      <c r="IH68" s="663"/>
      <c r="II68" s="663"/>
      <c r="IJ68" s="663"/>
      <c r="IK68" s="663"/>
      <c r="IL68" s="663"/>
      <c r="IM68" s="663"/>
      <c r="IN68" s="663"/>
      <c r="IO68" s="663"/>
      <c r="IP68" s="663"/>
      <c r="IQ68" s="663"/>
      <c r="IR68" s="663"/>
      <c r="IS68" s="663"/>
      <c r="IT68" s="663"/>
      <c r="IU68" s="663"/>
      <c r="IV68" s="663"/>
    </row>
    <row r="69" spans="1:256" s="541" customFormat="1" ht="13.5" customHeight="1">
      <c r="A69" s="1158"/>
      <c r="B69" s="1074"/>
      <c r="C69" s="1074"/>
      <c r="D69" s="547" t="s">
        <v>373</v>
      </c>
      <c r="E69" s="1074"/>
      <c r="F69" s="1076">
        <f>176.3</f>
        <v>176.3</v>
      </c>
      <c r="G69" s="1159"/>
      <c r="H69" s="1159"/>
      <c r="I69" s="819"/>
      <c r="J69" s="1160"/>
      <c r="K69" s="662"/>
      <c r="L69" s="662"/>
      <c r="M69" s="662"/>
      <c r="N69" s="662"/>
      <c r="O69" s="662"/>
      <c r="P69" s="662"/>
      <c r="Q69" s="662"/>
      <c r="R69" s="662"/>
      <c r="S69" s="662"/>
      <c r="T69" s="662"/>
      <c r="U69" s="662"/>
      <c r="V69" s="662"/>
      <c r="W69" s="662"/>
      <c r="X69" s="662"/>
      <c r="Y69" s="662"/>
      <c r="Z69" s="662"/>
      <c r="AA69" s="662"/>
      <c r="AB69" s="662"/>
      <c r="AC69" s="662"/>
      <c r="AD69" s="662"/>
      <c r="AE69" s="662"/>
      <c r="AF69" s="662"/>
      <c r="AG69" s="662"/>
      <c r="AH69" s="662"/>
      <c r="AI69" s="662"/>
      <c r="AJ69" s="662"/>
      <c r="AK69" s="662"/>
      <c r="AL69" s="662"/>
      <c r="AM69" s="662"/>
      <c r="AN69" s="662"/>
      <c r="AO69" s="662"/>
      <c r="AP69" s="662"/>
      <c r="AQ69" s="662"/>
      <c r="AR69" s="662"/>
      <c r="AS69" s="662"/>
      <c r="AT69" s="663"/>
      <c r="AU69" s="663"/>
      <c r="AV69" s="663"/>
      <c r="AW69" s="663"/>
      <c r="AX69" s="663"/>
      <c r="AY69" s="663"/>
      <c r="AZ69" s="663"/>
      <c r="BA69" s="663"/>
      <c r="BB69" s="663"/>
      <c r="BC69" s="663"/>
      <c r="BD69" s="663"/>
      <c r="BE69" s="663"/>
      <c r="BF69" s="663"/>
      <c r="BG69" s="663"/>
      <c r="BH69" s="663"/>
      <c r="BI69" s="663"/>
      <c r="BJ69" s="663"/>
      <c r="BK69" s="663"/>
      <c r="BL69" s="663"/>
      <c r="BM69" s="663"/>
      <c r="BN69" s="663"/>
      <c r="BO69" s="663"/>
      <c r="BP69" s="663"/>
      <c r="BQ69" s="663"/>
      <c r="BR69" s="663"/>
      <c r="BS69" s="663"/>
      <c r="BT69" s="663"/>
      <c r="BU69" s="663"/>
      <c r="BV69" s="663"/>
      <c r="BW69" s="663"/>
      <c r="BX69" s="663"/>
      <c r="BY69" s="663"/>
      <c r="BZ69" s="663"/>
      <c r="CA69" s="663"/>
      <c r="CB69" s="663"/>
      <c r="CC69" s="663"/>
      <c r="CD69" s="663"/>
      <c r="CE69" s="663"/>
      <c r="CF69" s="663"/>
      <c r="CG69" s="663"/>
      <c r="CH69" s="663"/>
      <c r="CI69" s="663"/>
      <c r="CJ69" s="663"/>
      <c r="CK69" s="663"/>
      <c r="CL69" s="663"/>
      <c r="CM69" s="663"/>
      <c r="CN69" s="663"/>
      <c r="CO69" s="663"/>
      <c r="CP69" s="663"/>
      <c r="CQ69" s="663"/>
      <c r="CR69" s="663"/>
      <c r="CS69" s="663"/>
      <c r="CT69" s="663"/>
      <c r="CU69" s="663"/>
      <c r="CV69" s="663"/>
      <c r="CW69" s="663"/>
      <c r="CX69" s="663"/>
      <c r="CY69" s="663"/>
      <c r="CZ69" s="663"/>
      <c r="DA69" s="663"/>
      <c r="DB69" s="663"/>
      <c r="DC69" s="663"/>
      <c r="DD69" s="663"/>
      <c r="DE69" s="663"/>
      <c r="DF69" s="663"/>
      <c r="DG69" s="663"/>
      <c r="DH69" s="663"/>
      <c r="DI69" s="663"/>
      <c r="DJ69" s="663"/>
      <c r="DK69" s="663"/>
      <c r="DL69" s="663"/>
      <c r="DM69" s="663"/>
      <c r="DN69" s="663"/>
      <c r="DO69" s="663"/>
      <c r="DP69" s="663"/>
      <c r="DQ69" s="663"/>
      <c r="DR69" s="663"/>
      <c r="DS69" s="663"/>
      <c r="DT69" s="663"/>
      <c r="DU69" s="663"/>
      <c r="DV69" s="663"/>
      <c r="DW69" s="663"/>
      <c r="DX69" s="663"/>
      <c r="DY69" s="663"/>
      <c r="DZ69" s="663"/>
      <c r="EA69" s="663"/>
      <c r="EB69" s="663"/>
      <c r="EC69" s="663"/>
      <c r="ED69" s="663"/>
      <c r="EE69" s="663"/>
      <c r="EF69" s="663"/>
      <c r="EG69" s="663"/>
      <c r="EH69" s="663"/>
      <c r="EI69" s="663"/>
      <c r="EJ69" s="663"/>
      <c r="EK69" s="663"/>
      <c r="EL69" s="663"/>
      <c r="EM69" s="663"/>
      <c r="EN69" s="663"/>
      <c r="EO69" s="663"/>
      <c r="EP69" s="663"/>
      <c r="EQ69" s="663"/>
      <c r="ER69" s="663"/>
      <c r="ES69" s="663"/>
      <c r="ET69" s="663"/>
      <c r="EU69" s="663"/>
      <c r="EV69" s="663"/>
      <c r="EW69" s="663"/>
      <c r="EX69" s="663"/>
      <c r="EY69" s="663"/>
      <c r="EZ69" s="663"/>
      <c r="FA69" s="663"/>
      <c r="FB69" s="663"/>
      <c r="FC69" s="663"/>
      <c r="FD69" s="663"/>
      <c r="FE69" s="663"/>
      <c r="FF69" s="663"/>
      <c r="FG69" s="663"/>
      <c r="FH69" s="663"/>
      <c r="FI69" s="663"/>
      <c r="FJ69" s="663"/>
      <c r="FK69" s="663"/>
      <c r="FL69" s="663"/>
      <c r="FM69" s="663"/>
      <c r="FN69" s="663"/>
      <c r="FO69" s="663"/>
      <c r="FP69" s="663"/>
      <c r="FQ69" s="663"/>
      <c r="FR69" s="663"/>
      <c r="FS69" s="663"/>
      <c r="FT69" s="663"/>
      <c r="FU69" s="663"/>
      <c r="FV69" s="663"/>
      <c r="FW69" s="663"/>
      <c r="FX69" s="663"/>
      <c r="FY69" s="663"/>
      <c r="FZ69" s="663"/>
      <c r="GA69" s="663"/>
      <c r="GB69" s="663"/>
      <c r="GC69" s="663"/>
      <c r="GD69" s="663"/>
      <c r="GE69" s="663"/>
      <c r="GF69" s="663"/>
      <c r="GG69" s="663"/>
      <c r="GH69" s="663"/>
      <c r="GI69" s="663"/>
      <c r="GJ69" s="663"/>
      <c r="GK69" s="663"/>
      <c r="GL69" s="663"/>
      <c r="GM69" s="663"/>
      <c r="GN69" s="663"/>
      <c r="GO69" s="663"/>
      <c r="GP69" s="663"/>
      <c r="GQ69" s="663"/>
      <c r="GR69" s="663"/>
      <c r="GS69" s="663"/>
      <c r="GT69" s="663"/>
      <c r="GU69" s="663"/>
      <c r="GV69" s="663"/>
      <c r="GW69" s="663"/>
      <c r="GX69" s="663"/>
      <c r="GY69" s="663"/>
      <c r="GZ69" s="663"/>
      <c r="HA69" s="663"/>
      <c r="HB69" s="663"/>
      <c r="HC69" s="663"/>
      <c r="HD69" s="663"/>
      <c r="HE69" s="663"/>
      <c r="HF69" s="663"/>
      <c r="HG69" s="663"/>
      <c r="HH69" s="663"/>
      <c r="HI69" s="663"/>
      <c r="HJ69" s="663"/>
      <c r="HK69" s="663"/>
      <c r="HL69" s="663"/>
      <c r="HM69" s="663"/>
      <c r="HN69" s="663"/>
      <c r="HO69" s="663"/>
      <c r="HP69" s="663"/>
      <c r="HQ69" s="663"/>
      <c r="HR69" s="663"/>
      <c r="HS69" s="663"/>
      <c r="HT69" s="663"/>
      <c r="HU69" s="663"/>
      <c r="HV69" s="663"/>
      <c r="HW69" s="663"/>
      <c r="HX69" s="663"/>
      <c r="HY69" s="663"/>
      <c r="HZ69" s="663"/>
      <c r="IA69" s="663"/>
      <c r="IB69" s="663"/>
      <c r="IC69" s="663"/>
      <c r="ID69" s="663"/>
      <c r="IE69" s="663"/>
      <c r="IF69" s="663"/>
      <c r="IG69" s="663"/>
      <c r="IH69" s="663"/>
      <c r="II69" s="663"/>
      <c r="IJ69" s="663"/>
      <c r="IK69" s="663"/>
      <c r="IL69" s="663"/>
      <c r="IM69" s="663"/>
      <c r="IN69" s="663"/>
      <c r="IO69" s="663"/>
      <c r="IP69" s="663"/>
      <c r="IQ69" s="663"/>
      <c r="IR69" s="663"/>
      <c r="IS69" s="663"/>
      <c r="IT69" s="663"/>
      <c r="IU69" s="663"/>
      <c r="IV69" s="663"/>
    </row>
    <row r="70" spans="1:256" s="335" customFormat="1" ht="13.5" customHeight="1">
      <c r="A70" s="379">
        <v>16</v>
      </c>
      <c r="B70" s="85">
        <v>221</v>
      </c>
      <c r="C70" s="85">
        <v>113107322</v>
      </c>
      <c r="D70" s="85" t="s">
        <v>379</v>
      </c>
      <c r="E70" s="85" t="s">
        <v>98</v>
      </c>
      <c r="F70" s="998">
        <f>SUM(F72:F73)</f>
        <v>40.200000000000003</v>
      </c>
      <c r="G70" s="86"/>
      <c r="H70" s="380">
        <f>F70*G70</f>
        <v>0</v>
      </c>
      <c r="I70" s="533" t="s">
        <v>738</v>
      </c>
      <c r="J70" s="1000"/>
      <c r="K70" s="1001"/>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3"/>
      <c r="AL70" s="333"/>
      <c r="AM70" s="333"/>
      <c r="AN70" s="333"/>
      <c r="AO70" s="333"/>
      <c r="AP70" s="333"/>
      <c r="AQ70" s="333"/>
      <c r="AR70" s="333"/>
      <c r="AS70" s="333"/>
    </row>
    <row r="71" spans="1:256" s="335" customFormat="1" ht="13.5" customHeight="1">
      <c r="A71" s="379"/>
      <c r="B71" s="85"/>
      <c r="C71" s="85"/>
      <c r="D71" s="542" t="s">
        <v>380</v>
      </c>
      <c r="E71" s="85"/>
      <c r="F71" s="998"/>
      <c r="G71" s="380"/>
      <c r="H71" s="380"/>
      <c r="I71" s="332"/>
      <c r="J71" s="1000"/>
      <c r="K71" s="1001"/>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33"/>
      <c r="AL71" s="333"/>
      <c r="AM71" s="333"/>
      <c r="AN71" s="333"/>
      <c r="AO71" s="333"/>
      <c r="AP71" s="333"/>
      <c r="AQ71" s="333"/>
      <c r="AR71" s="333"/>
      <c r="AS71" s="333"/>
    </row>
    <row r="72" spans="1:256" s="335" customFormat="1" ht="13.5" customHeight="1">
      <c r="A72" s="434"/>
      <c r="B72" s="435"/>
      <c r="C72" s="456"/>
      <c r="D72" s="456" t="s">
        <v>381</v>
      </c>
      <c r="E72" s="456"/>
      <c r="F72" s="337">
        <f>15.75</f>
        <v>15.75</v>
      </c>
      <c r="G72" s="999"/>
      <c r="H72" s="999"/>
      <c r="I72" s="549"/>
      <c r="J72" s="1000"/>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3"/>
      <c r="AK72" s="333"/>
      <c r="AL72" s="333"/>
      <c r="AM72" s="333"/>
      <c r="AN72" s="333"/>
      <c r="AO72" s="333"/>
      <c r="AP72" s="333"/>
      <c r="AQ72" s="333"/>
      <c r="AR72" s="333"/>
      <c r="AS72" s="333"/>
    </row>
    <row r="73" spans="1:256" s="335" customFormat="1" ht="13.5" customHeight="1">
      <c r="A73" s="434"/>
      <c r="B73" s="435"/>
      <c r="C73" s="456"/>
      <c r="D73" s="456" t="s">
        <v>382</v>
      </c>
      <c r="E73" s="456"/>
      <c r="F73" s="337">
        <f>24.45</f>
        <v>24.45</v>
      </c>
      <c r="G73" s="999"/>
      <c r="H73" s="999"/>
      <c r="I73" s="549"/>
      <c r="J73" s="1000"/>
      <c r="K73" s="333"/>
      <c r="L73" s="333"/>
      <c r="M73" s="333"/>
      <c r="N73" s="333"/>
      <c r="O73" s="333"/>
      <c r="P73" s="333"/>
      <c r="Q73" s="333"/>
      <c r="R73" s="333"/>
      <c r="S73" s="333"/>
      <c r="T73" s="333"/>
      <c r="U73" s="333"/>
      <c r="V73" s="333"/>
      <c r="W73" s="333"/>
      <c r="X73" s="333"/>
      <c r="Y73" s="333"/>
      <c r="Z73" s="333"/>
      <c r="AA73" s="333"/>
      <c r="AB73" s="333"/>
      <c r="AC73" s="333"/>
      <c r="AD73" s="333"/>
      <c r="AE73" s="333"/>
      <c r="AF73" s="333"/>
      <c r="AG73" s="333"/>
      <c r="AH73" s="333"/>
      <c r="AI73" s="333"/>
      <c r="AJ73" s="333"/>
      <c r="AK73" s="333"/>
      <c r="AL73" s="333"/>
      <c r="AM73" s="333"/>
      <c r="AN73" s="333"/>
      <c r="AO73" s="333"/>
      <c r="AP73" s="333"/>
      <c r="AQ73" s="333"/>
      <c r="AR73" s="333"/>
      <c r="AS73" s="333"/>
    </row>
    <row r="74" spans="1:256" s="541" customFormat="1" ht="13.5" customHeight="1">
      <c r="A74" s="1158">
        <v>17</v>
      </c>
      <c r="B74" s="1074">
        <v>221</v>
      </c>
      <c r="C74" s="1074">
        <v>113201112</v>
      </c>
      <c r="D74" s="1074" t="s">
        <v>370</v>
      </c>
      <c r="E74" s="1074" t="s">
        <v>115</v>
      </c>
      <c r="F74" s="1096">
        <f>SUM(F75:F75)</f>
        <v>6.6</v>
      </c>
      <c r="G74" s="1209"/>
      <c r="H74" s="1159">
        <f>F74*G74</f>
        <v>0</v>
      </c>
      <c r="I74" s="533" t="s">
        <v>738</v>
      </c>
      <c r="J74" s="1161"/>
      <c r="K74" s="938"/>
      <c r="L74" s="662"/>
      <c r="M74" s="662"/>
      <c r="N74" s="662"/>
      <c r="O74" s="662"/>
      <c r="P74" s="662"/>
      <c r="Q74" s="662"/>
      <c r="R74" s="662"/>
      <c r="S74" s="662"/>
      <c r="T74" s="662"/>
      <c r="U74" s="662"/>
      <c r="V74" s="662"/>
      <c r="W74" s="662"/>
      <c r="X74" s="662"/>
      <c r="Y74" s="662"/>
      <c r="Z74" s="662"/>
      <c r="AA74" s="662"/>
      <c r="AB74" s="662"/>
      <c r="AC74" s="662"/>
      <c r="AD74" s="662"/>
      <c r="AE74" s="662"/>
      <c r="AF74" s="662"/>
      <c r="AG74" s="662"/>
      <c r="AH74" s="662"/>
      <c r="AI74" s="662"/>
      <c r="AJ74" s="662"/>
      <c r="AK74" s="662"/>
      <c r="AL74" s="662"/>
      <c r="AM74" s="662"/>
      <c r="AN74" s="662"/>
      <c r="AO74" s="662"/>
      <c r="AP74" s="662"/>
      <c r="AQ74" s="662"/>
      <c r="AR74" s="662"/>
      <c r="AS74" s="662"/>
      <c r="AT74" s="663"/>
      <c r="AU74" s="663"/>
      <c r="AV74" s="663"/>
      <c r="AW74" s="663"/>
      <c r="AX74" s="663"/>
      <c r="AY74" s="663"/>
      <c r="AZ74" s="663"/>
      <c r="BA74" s="663"/>
      <c r="BB74" s="663"/>
      <c r="BC74" s="663"/>
      <c r="BD74" s="663"/>
      <c r="BE74" s="663"/>
      <c r="BF74" s="663"/>
      <c r="BG74" s="663"/>
      <c r="BH74" s="663"/>
      <c r="BI74" s="663"/>
      <c r="BJ74" s="663"/>
      <c r="BK74" s="663"/>
      <c r="BL74" s="663"/>
      <c r="BM74" s="663"/>
      <c r="BN74" s="663"/>
      <c r="BO74" s="663"/>
      <c r="BP74" s="663"/>
      <c r="BQ74" s="663"/>
      <c r="BR74" s="663"/>
      <c r="BS74" s="663"/>
      <c r="BT74" s="663"/>
      <c r="BU74" s="663"/>
      <c r="BV74" s="663"/>
      <c r="BW74" s="663"/>
      <c r="BX74" s="663"/>
      <c r="BY74" s="663"/>
      <c r="BZ74" s="663"/>
      <c r="CA74" s="663"/>
      <c r="CB74" s="663"/>
      <c r="CC74" s="663"/>
      <c r="CD74" s="663"/>
      <c r="CE74" s="663"/>
      <c r="CF74" s="663"/>
      <c r="CG74" s="663"/>
      <c r="CH74" s="663"/>
      <c r="CI74" s="663"/>
      <c r="CJ74" s="663"/>
      <c r="CK74" s="663"/>
      <c r="CL74" s="663"/>
      <c r="CM74" s="663"/>
      <c r="CN74" s="663"/>
      <c r="CO74" s="663"/>
      <c r="CP74" s="663"/>
      <c r="CQ74" s="663"/>
      <c r="CR74" s="663"/>
      <c r="CS74" s="663"/>
      <c r="CT74" s="663"/>
      <c r="CU74" s="663"/>
      <c r="CV74" s="663"/>
      <c r="CW74" s="663"/>
      <c r="CX74" s="663"/>
      <c r="CY74" s="663"/>
      <c r="CZ74" s="663"/>
      <c r="DA74" s="663"/>
      <c r="DB74" s="663"/>
      <c r="DC74" s="663"/>
      <c r="DD74" s="663"/>
      <c r="DE74" s="663"/>
      <c r="DF74" s="663"/>
      <c r="DG74" s="663"/>
      <c r="DH74" s="663"/>
      <c r="DI74" s="663"/>
      <c r="DJ74" s="663"/>
      <c r="DK74" s="663"/>
      <c r="DL74" s="663"/>
      <c r="DM74" s="663"/>
      <c r="DN74" s="663"/>
      <c r="DO74" s="663"/>
      <c r="DP74" s="663"/>
      <c r="DQ74" s="663"/>
      <c r="DR74" s="663"/>
      <c r="DS74" s="663"/>
      <c r="DT74" s="663"/>
      <c r="DU74" s="663"/>
      <c r="DV74" s="663"/>
      <c r="DW74" s="663"/>
      <c r="DX74" s="663"/>
      <c r="DY74" s="663"/>
      <c r="DZ74" s="663"/>
      <c r="EA74" s="663"/>
      <c r="EB74" s="663"/>
      <c r="EC74" s="663"/>
      <c r="ED74" s="663"/>
      <c r="EE74" s="663"/>
      <c r="EF74" s="663"/>
      <c r="EG74" s="663"/>
      <c r="EH74" s="663"/>
      <c r="EI74" s="663"/>
      <c r="EJ74" s="663"/>
      <c r="EK74" s="663"/>
      <c r="EL74" s="663"/>
      <c r="EM74" s="663"/>
      <c r="EN74" s="663"/>
      <c r="EO74" s="663"/>
      <c r="EP74" s="663"/>
      <c r="EQ74" s="663"/>
      <c r="ER74" s="663"/>
      <c r="ES74" s="663"/>
      <c r="ET74" s="663"/>
      <c r="EU74" s="663"/>
      <c r="EV74" s="663"/>
      <c r="EW74" s="663"/>
      <c r="EX74" s="663"/>
      <c r="EY74" s="663"/>
      <c r="EZ74" s="663"/>
      <c r="FA74" s="663"/>
      <c r="FB74" s="663"/>
      <c r="FC74" s="663"/>
      <c r="FD74" s="663"/>
      <c r="FE74" s="663"/>
      <c r="FF74" s="663"/>
      <c r="FG74" s="663"/>
      <c r="FH74" s="663"/>
      <c r="FI74" s="663"/>
      <c r="FJ74" s="663"/>
      <c r="FK74" s="663"/>
      <c r="FL74" s="663"/>
      <c r="FM74" s="663"/>
      <c r="FN74" s="663"/>
      <c r="FO74" s="663"/>
      <c r="FP74" s="663"/>
      <c r="FQ74" s="663"/>
      <c r="FR74" s="663"/>
      <c r="FS74" s="663"/>
      <c r="FT74" s="663"/>
      <c r="FU74" s="663"/>
      <c r="FV74" s="663"/>
      <c r="FW74" s="663"/>
      <c r="FX74" s="663"/>
      <c r="FY74" s="663"/>
      <c r="FZ74" s="663"/>
      <c r="GA74" s="663"/>
      <c r="GB74" s="663"/>
      <c r="GC74" s="663"/>
      <c r="GD74" s="663"/>
      <c r="GE74" s="663"/>
      <c r="GF74" s="663"/>
      <c r="GG74" s="663"/>
      <c r="GH74" s="663"/>
      <c r="GI74" s="663"/>
      <c r="GJ74" s="663"/>
      <c r="GK74" s="663"/>
      <c r="GL74" s="663"/>
      <c r="GM74" s="663"/>
      <c r="GN74" s="663"/>
      <c r="GO74" s="663"/>
      <c r="GP74" s="663"/>
      <c r="GQ74" s="663"/>
      <c r="GR74" s="663"/>
      <c r="GS74" s="663"/>
      <c r="GT74" s="663"/>
      <c r="GU74" s="663"/>
      <c r="GV74" s="663"/>
      <c r="GW74" s="663"/>
      <c r="GX74" s="663"/>
      <c r="GY74" s="663"/>
      <c r="GZ74" s="663"/>
      <c r="HA74" s="663"/>
      <c r="HB74" s="663"/>
      <c r="HC74" s="663"/>
      <c r="HD74" s="663"/>
      <c r="HE74" s="663"/>
      <c r="HF74" s="663"/>
      <c r="HG74" s="663"/>
      <c r="HH74" s="663"/>
      <c r="HI74" s="663"/>
      <c r="HJ74" s="663"/>
      <c r="HK74" s="663"/>
      <c r="HL74" s="663"/>
      <c r="HM74" s="663"/>
      <c r="HN74" s="663"/>
      <c r="HO74" s="663"/>
      <c r="HP74" s="663"/>
      <c r="HQ74" s="663"/>
      <c r="HR74" s="663"/>
      <c r="HS74" s="663"/>
      <c r="HT74" s="663"/>
      <c r="HU74" s="663"/>
      <c r="HV74" s="663"/>
      <c r="HW74" s="663"/>
      <c r="HX74" s="663"/>
      <c r="HY74" s="663"/>
      <c r="HZ74" s="663"/>
      <c r="IA74" s="663"/>
      <c r="IB74" s="663"/>
      <c r="IC74" s="663"/>
      <c r="ID74" s="663"/>
      <c r="IE74" s="663"/>
      <c r="IF74" s="663"/>
      <c r="IG74" s="663"/>
      <c r="IH74" s="663"/>
      <c r="II74" s="663"/>
      <c r="IJ74" s="663"/>
      <c r="IK74" s="663"/>
      <c r="IL74" s="663"/>
      <c r="IM74" s="663"/>
      <c r="IN74" s="663"/>
      <c r="IO74" s="663"/>
      <c r="IP74" s="663"/>
      <c r="IQ74" s="663"/>
      <c r="IR74" s="663"/>
      <c r="IS74" s="663"/>
      <c r="IT74" s="663"/>
      <c r="IU74" s="663"/>
      <c r="IV74" s="663"/>
    </row>
    <row r="75" spans="1:256" s="541" customFormat="1" ht="13.5" customHeight="1">
      <c r="A75" s="434"/>
      <c r="B75" s="435"/>
      <c r="C75" s="456"/>
      <c r="D75" s="456" t="s">
        <v>383</v>
      </c>
      <c r="E75" s="456"/>
      <c r="F75" s="1076">
        <f>6.6</f>
        <v>6.6</v>
      </c>
      <c r="G75" s="999"/>
      <c r="H75" s="999"/>
      <c r="I75" s="549"/>
      <c r="J75" s="937"/>
      <c r="K75" s="938"/>
      <c r="L75" s="662"/>
      <c r="M75" s="662"/>
      <c r="N75" s="662"/>
      <c r="O75" s="662"/>
      <c r="P75" s="662"/>
      <c r="Q75" s="662"/>
      <c r="R75" s="662"/>
      <c r="S75" s="662"/>
      <c r="T75" s="662"/>
      <c r="U75" s="662"/>
      <c r="V75" s="662"/>
      <c r="W75" s="662"/>
      <c r="X75" s="662"/>
      <c r="Y75" s="662"/>
      <c r="Z75" s="662"/>
      <c r="AA75" s="662"/>
      <c r="AB75" s="662"/>
      <c r="AC75" s="662"/>
      <c r="AD75" s="662"/>
      <c r="AE75" s="662"/>
      <c r="AF75" s="662"/>
      <c r="AG75" s="662"/>
      <c r="AH75" s="662"/>
      <c r="AI75" s="662"/>
      <c r="AJ75" s="662"/>
      <c r="AK75" s="662"/>
      <c r="AL75" s="662"/>
      <c r="AM75" s="662"/>
      <c r="AN75" s="662"/>
      <c r="AO75" s="662"/>
      <c r="AP75" s="662"/>
      <c r="AQ75" s="662"/>
      <c r="AR75" s="662"/>
      <c r="AS75" s="662"/>
      <c r="AT75" s="663"/>
      <c r="AU75" s="663"/>
      <c r="AV75" s="663"/>
      <c r="AW75" s="663"/>
      <c r="AX75" s="663"/>
      <c r="AY75" s="663"/>
      <c r="AZ75" s="663"/>
      <c r="BA75" s="663"/>
      <c r="BB75" s="663"/>
      <c r="BC75" s="663"/>
      <c r="BD75" s="663"/>
      <c r="BE75" s="663"/>
      <c r="BF75" s="663"/>
      <c r="BG75" s="663"/>
      <c r="BH75" s="663"/>
      <c r="BI75" s="663"/>
      <c r="BJ75" s="663"/>
      <c r="BK75" s="663"/>
      <c r="BL75" s="663"/>
      <c r="BM75" s="663"/>
      <c r="BN75" s="663"/>
      <c r="BO75" s="663"/>
      <c r="BP75" s="663"/>
      <c r="BQ75" s="663"/>
      <c r="BR75" s="663"/>
      <c r="BS75" s="663"/>
      <c r="BT75" s="663"/>
      <c r="BU75" s="663"/>
      <c r="BV75" s="663"/>
      <c r="BW75" s="663"/>
      <c r="BX75" s="663"/>
      <c r="BY75" s="663"/>
      <c r="BZ75" s="663"/>
      <c r="CA75" s="663"/>
      <c r="CB75" s="663"/>
      <c r="CC75" s="663"/>
      <c r="CD75" s="663"/>
      <c r="CE75" s="663"/>
      <c r="CF75" s="663"/>
      <c r="CG75" s="663"/>
      <c r="CH75" s="663"/>
      <c r="CI75" s="663"/>
      <c r="CJ75" s="663"/>
      <c r="CK75" s="663"/>
      <c r="CL75" s="663"/>
      <c r="CM75" s="663"/>
      <c r="CN75" s="663"/>
      <c r="CO75" s="663"/>
      <c r="CP75" s="663"/>
      <c r="CQ75" s="663"/>
      <c r="CR75" s="663"/>
      <c r="CS75" s="663"/>
      <c r="CT75" s="663"/>
      <c r="CU75" s="663"/>
      <c r="CV75" s="663"/>
      <c r="CW75" s="663"/>
      <c r="CX75" s="663"/>
      <c r="CY75" s="663"/>
      <c r="CZ75" s="663"/>
      <c r="DA75" s="663"/>
      <c r="DB75" s="663"/>
      <c r="DC75" s="663"/>
      <c r="DD75" s="663"/>
      <c r="DE75" s="663"/>
      <c r="DF75" s="663"/>
      <c r="DG75" s="663"/>
      <c r="DH75" s="663"/>
      <c r="DI75" s="663"/>
      <c r="DJ75" s="663"/>
      <c r="DK75" s="663"/>
      <c r="DL75" s="663"/>
      <c r="DM75" s="663"/>
      <c r="DN75" s="663"/>
      <c r="DO75" s="663"/>
      <c r="DP75" s="663"/>
      <c r="DQ75" s="663"/>
      <c r="DR75" s="663"/>
      <c r="DS75" s="663"/>
      <c r="DT75" s="663"/>
      <c r="DU75" s="663"/>
      <c r="DV75" s="663"/>
      <c r="DW75" s="663"/>
      <c r="DX75" s="663"/>
      <c r="DY75" s="663"/>
      <c r="DZ75" s="663"/>
      <c r="EA75" s="663"/>
      <c r="EB75" s="663"/>
      <c r="EC75" s="663"/>
      <c r="ED75" s="663"/>
      <c r="EE75" s="663"/>
      <c r="EF75" s="663"/>
      <c r="EG75" s="663"/>
      <c r="EH75" s="663"/>
      <c r="EI75" s="663"/>
      <c r="EJ75" s="663"/>
      <c r="EK75" s="663"/>
      <c r="EL75" s="663"/>
      <c r="EM75" s="663"/>
      <c r="EN75" s="663"/>
      <c r="EO75" s="663"/>
      <c r="EP75" s="663"/>
      <c r="EQ75" s="663"/>
      <c r="ER75" s="663"/>
      <c r="ES75" s="663"/>
      <c r="ET75" s="663"/>
      <c r="EU75" s="663"/>
      <c r="EV75" s="663"/>
      <c r="EW75" s="663"/>
      <c r="EX75" s="663"/>
      <c r="EY75" s="663"/>
      <c r="EZ75" s="663"/>
      <c r="FA75" s="663"/>
      <c r="FB75" s="663"/>
      <c r="FC75" s="663"/>
      <c r="FD75" s="663"/>
      <c r="FE75" s="663"/>
      <c r="FF75" s="663"/>
      <c r="FG75" s="663"/>
      <c r="FH75" s="663"/>
      <c r="FI75" s="663"/>
      <c r="FJ75" s="663"/>
      <c r="FK75" s="663"/>
      <c r="FL75" s="663"/>
      <c r="FM75" s="663"/>
      <c r="FN75" s="663"/>
      <c r="FO75" s="663"/>
      <c r="FP75" s="663"/>
      <c r="FQ75" s="663"/>
      <c r="FR75" s="663"/>
      <c r="FS75" s="663"/>
      <c r="FT75" s="663"/>
      <c r="FU75" s="663"/>
      <c r="FV75" s="663"/>
      <c r="FW75" s="663"/>
      <c r="FX75" s="663"/>
      <c r="FY75" s="663"/>
      <c r="FZ75" s="663"/>
      <c r="GA75" s="663"/>
      <c r="GB75" s="663"/>
      <c r="GC75" s="663"/>
      <c r="GD75" s="663"/>
      <c r="GE75" s="663"/>
      <c r="GF75" s="663"/>
      <c r="GG75" s="663"/>
      <c r="GH75" s="663"/>
      <c r="GI75" s="663"/>
      <c r="GJ75" s="663"/>
      <c r="GK75" s="663"/>
      <c r="GL75" s="663"/>
      <c r="GM75" s="663"/>
      <c r="GN75" s="663"/>
      <c r="GO75" s="663"/>
      <c r="GP75" s="663"/>
      <c r="GQ75" s="663"/>
      <c r="GR75" s="663"/>
      <c r="GS75" s="663"/>
      <c r="GT75" s="663"/>
      <c r="GU75" s="663"/>
      <c r="GV75" s="663"/>
      <c r="GW75" s="663"/>
      <c r="GX75" s="663"/>
      <c r="GY75" s="663"/>
      <c r="GZ75" s="663"/>
      <c r="HA75" s="663"/>
      <c r="HB75" s="663"/>
      <c r="HC75" s="663"/>
      <c r="HD75" s="663"/>
      <c r="HE75" s="663"/>
      <c r="HF75" s="663"/>
      <c r="HG75" s="663"/>
      <c r="HH75" s="663"/>
      <c r="HI75" s="663"/>
      <c r="HJ75" s="663"/>
      <c r="HK75" s="663"/>
      <c r="HL75" s="663"/>
      <c r="HM75" s="663"/>
      <c r="HN75" s="663"/>
      <c r="HO75" s="663"/>
      <c r="HP75" s="663"/>
      <c r="HQ75" s="663"/>
      <c r="HR75" s="663"/>
      <c r="HS75" s="663"/>
      <c r="HT75" s="663"/>
      <c r="HU75" s="663"/>
      <c r="HV75" s="663"/>
      <c r="HW75" s="663"/>
      <c r="HX75" s="663"/>
      <c r="HY75" s="663"/>
      <c r="HZ75" s="663"/>
      <c r="IA75" s="663"/>
      <c r="IB75" s="663"/>
      <c r="IC75" s="663"/>
      <c r="ID75" s="663"/>
      <c r="IE75" s="663"/>
      <c r="IF75" s="663"/>
      <c r="IG75" s="663"/>
      <c r="IH75" s="663"/>
      <c r="II75" s="663"/>
      <c r="IJ75" s="663"/>
      <c r="IK75" s="663"/>
      <c r="IL75" s="663"/>
      <c r="IM75" s="663"/>
      <c r="IN75" s="663"/>
      <c r="IO75" s="663"/>
      <c r="IP75" s="663"/>
      <c r="IQ75" s="663"/>
      <c r="IR75" s="663"/>
      <c r="IS75" s="663"/>
      <c r="IT75" s="663"/>
      <c r="IU75" s="663"/>
      <c r="IV75" s="663"/>
    </row>
    <row r="76" spans="1:256" s="541" customFormat="1" ht="13.5" customHeight="1">
      <c r="A76" s="434"/>
      <c r="B76" s="435"/>
      <c r="C76" s="456"/>
      <c r="D76" s="456" t="s">
        <v>116</v>
      </c>
      <c r="E76" s="456"/>
      <c r="F76" s="1076"/>
      <c r="G76" s="999"/>
      <c r="H76" s="999"/>
      <c r="I76" s="549"/>
      <c r="J76" s="937"/>
      <c r="K76" s="938"/>
      <c r="L76" s="662"/>
      <c r="M76" s="662"/>
      <c r="N76" s="662"/>
      <c r="O76" s="662"/>
      <c r="P76" s="662"/>
      <c r="Q76" s="662"/>
      <c r="R76" s="662"/>
      <c r="S76" s="662"/>
      <c r="T76" s="662"/>
      <c r="U76" s="662"/>
      <c r="V76" s="662"/>
      <c r="W76" s="662"/>
      <c r="X76" s="662"/>
      <c r="Y76" s="662"/>
      <c r="Z76" s="662"/>
      <c r="AA76" s="662"/>
      <c r="AB76" s="662"/>
      <c r="AC76" s="662"/>
      <c r="AD76" s="662"/>
      <c r="AE76" s="662"/>
      <c r="AF76" s="662"/>
      <c r="AG76" s="662"/>
      <c r="AH76" s="662"/>
      <c r="AI76" s="662"/>
      <c r="AJ76" s="662"/>
      <c r="AK76" s="662"/>
      <c r="AL76" s="662"/>
      <c r="AM76" s="662"/>
      <c r="AN76" s="662"/>
      <c r="AO76" s="662"/>
      <c r="AP76" s="662"/>
      <c r="AQ76" s="662"/>
      <c r="AR76" s="662"/>
      <c r="AS76" s="662"/>
      <c r="AT76" s="663"/>
      <c r="AU76" s="663"/>
      <c r="AV76" s="663"/>
      <c r="AW76" s="663"/>
      <c r="AX76" s="663"/>
      <c r="AY76" s="663"/>
      <c r="AZ76" s="663"/>
      <c r="BA76" s="663"/>
      <c r="BB76" s="663"/>
      <c r="BC76" s="663"/>
      <c r="BD76" s="663"/>
      <c r="BE76" s="663"/>
      <c r="BF76" s="663"/>
      <c r="BG76" s="663"/>
      <c r="BH76" s="663"/>
      <c r="BI76" s="663"/>
      <c r="BJ76" s="663"/>
      <c r="BK76" s="663"/>
      <c r="BL76" s="663"/>
      <c r="BM76" s="663"/>
      <c r="BN76" s="663"/>
      <c r="BO76" s="663"/>
      <c r="BP76" s="663"/>
      <c r="BQ76" s="663"/>
      <c r="BR76" s="663"/>
      <c r="BS76" s="663"/>
      <c r="BT76" s="663"/>
      <c r="BU76" s="663"/>
      <c r="BV76" s="663"/>
      <c r="BW76" s="663"/>
      <c r="BX76" s="663"/>
      <c r="BY76" s="663"/>
      <c r="BZ76" s="663"/>
      <c r="CA76" s="663"/>
      <c r="CB76" s="663"/>
      <c r="CC76" s="663"/>
      <c r="CD76" s="663"/>
      <c r="CE76" s="663"/>
      <c r="CF76" s="663"/>
      <c r="CG76" s="663"/>
      <c r="CH76" s="663"/>
      <c r="CI76" s="663"/>
      <c r="CJ76" s="663"/>
      <c r="CK76" s="663"/>
      <c r="CL76" s="663"/>
      <c r="CM76" s="663"/>
      <c r="CN76" s="663"/>
      <c r="CO76" s="663"/>
      <c r="CP76" s="663"/>
      <c r="CQ76" s="663"/>
      <c r="CR76" s="663"/>
      <c r="CS76" s="663"/>
      <c r="CT76" s="663"/>
      <c r="CU76" s="663"/>
      <c r="CV76" s="663"/>
      <c r="CW76" s="663"/>
      <c r="CX76" s="663"/>
      <c r="CY76" s="663"/>
      <c r="CZ76" s="663"/>
      <c r="DA76" s="663"/>
      <c r="DB76" s="663"/>
      <c r="DC76" s="663"/>
      <c r="DD76" s="663"/>
      <c r="DE76" s="663"/>
      <c r="DF76" s="663"/>
      <c r="DG76" s="663"/>
      <c r="DH76" s="663"/>
      <c r="DI76" s="663"/>
      <c r="DJ76" s="663"/>
      <c r="DK76" s="663"/>
      <c r="DL76" s="663"/>
      <c r="DM76" s="663"/>
      <c r="DN76" s="663"/>
      <c r="DO76" s="663"/>
      <c r="DP76" s="663"/>
      <c r="DQ76" s="663"/>
      <c r="DR76" s="663"/>
      <c r="DS76" s="663"/>
      <c r="DT76" s="663"/>
      <c r="DU76" s="663"/>
      <c r="DV76" s="663"/>
      <c r="DW76" s="663"/>
      <c r="DX76" s="663"/>
      <c r="DY76" s="663"/>
      <c r="DZ76" s="663"/>
      <c r="EA76" s="663"/>
      <c r="EB76" s="663"/>
      <c r="EC76" s="663"/>
      <c r="ED76" s="663"/>
      <c r="EE76" s="663"/>
      <c r="EF76" s="663"/>
      <c r="EG76" s="663"/>
      <c r="EH76" s="663"/>
      <c r="EI76" s="663"/>
      <c r="EJ76" s="663"/>
      <c r="EK76" s="663"/>
      <c r="EL76" s="663"/>
      <c r="EM76" s="663"/>
      <c r="EN76" s="663"/>
      <c r="EO76" s="663"/>
      <c r="EP76" s="663"/>
      <c r="EQ76" s="663"/>
      <c r="ER76" s="663"/>
      <c r="ES76" s="663"/>
      <c r="ET76" s="663"/>
      <c r="EU76" s="663"/>
      <c r="EV76" s="663"/>
      <c r="EW76" s="663"/>
      <c r="EX76" s="663"/>
      <c r="EY76" s="663"/>
      <c r="EZ76" s="663"/>
      <c r="FA76" s="663"/>
      <c r="FB76" s="663"/>
      <c r="FC76" s="663"/>
      <c r="FD76" s="663"/>
      <c r="FE76" s="663"/>
      <c r="FF76" s="663"/>
      <c r="FG76" s="663"/>
      <c r="FH76" s="663"/>
      <c r="FI76" s="663"/>
      <c r="FJ76" s="663"/>
      <c r="FK76" s="663"/>
      <c r="FL76" s="663"/>
      <c r="FM76" s="663"/>
      <c r="FN76" s="663"/>
      <c r="FO76" s="663"/>
      <c r="FP76" s="663"/>
      <c r="FQ76" s="663"/>
      <c r="FR76" s="663"/>
      <c r="FS76" s="663"/>
      <c r="FT76" s="663"/>
      <c r="FU76" s="663"/>
      <c r="FV76" s="663"/>
      <c r="FW76" s="663"/>
      <c r="FX76" s="663"/>
      <c r="FY76" s="663"/>
      <c r="FZ76" s="663"/>
      <c r="GA76" s="663"/>
      <c r="GB76" s="663"/>
      <c r="GC76" s="663"/>
      <c r="GD76" s="663"/>
      <c r="GE76" s="663"/>
      <c r="GF76" s="663"/>
      <c r="GG76" s="663"/>
      <c r="GH76" s="663"/>
      <c r="GI76" s="663"/>
      <c r="GJ76" s="663"/>
      <c r="GK76" s="663"/>
      <c r="GL76" s="663"/>
      <c r="GM76" s="663"/>
      <c r="GN76" s="663"/>
      <c r="GO76" s="663"/>
      <c r="GP76" s="663"/>
      <c r="GQ76" s="663"/>
      <c r="GR76" s="663"/>
      <c r="GS76" s="663"/>
      <c r="GT76" s="663"/>
      <c r="GU76" s="663"/>
      <c r="GV76" s="663"/>
      <c r="GW76" s="663"/>
      <c r="GX76" s="663"/>
      <c r="GY76" s="663"/>
      <c r="GZ76" s="663"/>
      <c r="HA76" s="663"/>
      <c r="HB76" s="663"/>
      <c r="HC76" s="663"/>
      <c r="HD76" s="663"/>
      <c r="HE76" s="663"/>
      <c r="HF76" s="663"/>
      <c r="HG76" s="663"/>
      <c r="HH76" s="663"/>
      <c r="HI76" s="663"/>
      <c r="HJ76" s="663"/>
      <c r="HK76" s="663"/>
      <c r="HL76" s="663"/>
      <c r="HM76" s="663"/>
      <c r="HN76" s="663"/>
      <c r="HO76" s="663"/>
      <c r="HP76" s="663"/>
      <c r="HQ76" s="663"/>
      <c r="HR76" s="663"/>
      <c r="HS76" s="663"/>
      <c r="HT76" s="663"/>
      <c r="HU76" s="663"/>
      <c r="HV76" s="663"/>
      <c r="HW76" s="663"/>
      <c r="HX76" s="663"/>
      <c r="HY76" s="663"/>
      <c r="HZ76" s="663"/>
      <c r="IA76" s="663"/>
      <c r="IB76" s="663"/>
      <c r="IC76" s="663"/>
      <c r="ID76" s="663"/>
      <c r="IE76" s="663"/>
      <c r="IF76" s="663"/>
      <c r="IG76" s="663"/>
      <c r="IH76" s="663"/>
      <c r="II76" s="663"/>
      <c r="IJ76" s="663"/>
      <c r="IK76" s="663"/>
      <c r="IL76" s="663"/>
      <c r="IM76" s="663"/>
      <c r="IN76" s="663"/>
      <c r="IO76" s="663"/>
      <c r="IP76" s="663"/>
      <c r="IQ76" s="663"/>
      <c r="IR76" s="663"/>
      <c r="IS76" s="663"/>
      <c r="IT76" s="663"/>
      <c r="IU76" s="663"/>
      <c r="IV76" s="663"/>
    </row>
    <row r="77" spans="1:256" s="541" customFormat="1" ht="13.5" customHeight="1">
      <c r="A77" s="1158">
        <v>18</v>
      </c>
      <c r="B77" s="1074">
        <v>221</v>
      </c>
      <c r="C77" s="1074">
        <v>113202111</v>
      </c>
      <c r="D77" s="1074" t="s">
        <v>114</v>
      </c>
      <c r="E77" s="1074" t="s">
        <v>115</v>
      </c>
      <c r="F77" s="1096">
        <f>SUM(F78:F78)</f>
        <v>18.100000000000001</v>
      </c>
      <c r="G77" s="1209"/>
      <c r="H77" s="1159">
        <f>F77*G77</f>
        <v>0</v>
      </c>
      <c r="I77" s="533" t="s">
        <v>738</v>
      </c>
      <c r="J77" s="1161"/>
      <c r="K77" s="938"/>
      <c r="L77" s="662"/>
      <c r="M77" s="662"/>
      <c r="N77" s="662"/>
      <c r="O77" s="662"/>
      <c r="P77" s="662"/>
      <c r="Q77" s="662"/>
      <c r="R77" s="662"/>
      <c r="S77" s="662"/>
      <c r="T77" s="662"/>
      <c r="U77" s="662"/>
      <c r="V77" s="662"/>
      <c r="W77" s="662"/>
      <c r="X77" s="662"/>
      <c r="Y77" s="662"/>
      <c r="Z77" s="662"/>
      <c r="AA77" s="662"/>
      <c r="AB77" s="662"/>
      <c r="AC77" s="662"/>
      <c r="AD77" s="662"/>
      <c r="AE77" s="662"/>
      <c r="AF77" s="662"/>
      <c r="AG77" s="662"/>
      <c r="AH77" s="662"/>
      <c r="AI77" s="662"/>
      <c r="AJ77" s="662"/>
      <c r="AK77" s="662"/>
      <c r="AL77" s="662"/>
      <c r="AM77" s="662"/>
      <c r="AN77" s="662"/>
      <c r="AO77" s="662"/>
      <c r="AP77" s="662"/>
      <c r="AQ77" s="662"/>
      <c r="AR77" s="662"/>
      <c r="AS77" s="662"/>
      <c r="AT77" s="663"/>
      <c r="AU77" s="663"/>
      <c r="AV77" s="663"/>
      <c r="AW77" s="663"/>
      <c r="AX77" s="663"/>
      <c r="AY77" s="663"/>
      <c r="AZ77" s="663"/>
      <c r="BA77" s="663"/>
      <c r="BB77" s="663"/>
      <c r="BC77" s="663"/>
      <c r="BD77" s="663"/>
      <c r="BE77" s="663"/>
      <c r="BF77" s="663"/>
      <c r="BG77" s="663"/>
      <c r="BH77" s="663"/>
      <c r="BI77" s="663"/>
      <c r="BJ77" s="663"/>
      <c r="BK77" s="663"/>
      <c r="BL77" s="663"/>
      <c r="BM77" s="663"/>
      <c r="BN77" s="663"/>
      <c r="BO77" s="663"/>
      <c r="BP77" s="663"/>
      <c r="BQ77" s="663"/>
      <c r="BR77" s="663"/>
      <c r="BS77" s="663"/>
      <c r="BT77" s="663"/>
      <c r="BU77" s="663"/>
      <c r="BV77" s="663"/>
      <c r="BW77" s="663"/>
      <c r="BX77" s="663"/>
      <c r="BY77" s="663"/>
      <c r="BZ77" s="663"/>
      <c r="CA77" s="663"/>
      <c r="CB77" s="663"/>
      <c r="CC77" s="663"/>
      <c r="CD77" s="663"/>
      <c r="CE77" s="663"/>
      <c r="CF77" s="663"/>
      <c r="CG77" s="663"/>
      <c r="CH77" s="663"/>
      <c r="CI77" s="663"/>
      <c r="CJ77" s="663"/>
      <c r="CK77" s="663"/>
      <c r="CL77" s="663"/>
      <c r="CM77" s="663"/>
      <c r="CN77" s="663"/>
      <c r="CO77" s="663"/>
      <c r="CP77" s="663"/>
      <c r="CQ77" s="663"/>
      <c r="CR77" s="663"/>
      <c r="CS77" s="663"/>
      <c r="CT77" s="663"/>
      <c r="CU77" s="663"/>
      <c r="CV77" s="663"/>
      <c r="CW77" s="663"/>
      <c r="CX77" s="663"/>
      <c r="CY77" s="663"/>
      <c r="CZ77" s="663"/>
      <c r="DA77" s="663"/>
      <c r="DB77" s="663"/>
      <c r="DC77" s="663"/>
      <c r="DD77" s="663"/>
      <c r="DE77" s="663"/>
      <c r="DF77" s="663"/>
      <c r="DG77" s="663"/>
      <c r="DH77" s="663"/>
      <c r="DI77" s="663"/>
      <c r="DJ77" s="663"/>
      <c r="DK77" s="663"/>
      <c r="DL77" s="663"/>
      <c r="DM77" s="663"/>
      <c r="DN77" s="663"/>
      <c r="DO77" s="663"/>
      <c r="DP77" s="663"/>
      <c r="DQ77" s="663"/>
      <c r="DR77" s="663"/>
      <c r="DS77" s="663"/>
      <c r="DT77" s="663"/>
      <c r="DU77" s="663"/>
      <c r="DV77" s="663"/>
      <c r="DW77" s="663"/>
      <c r="DX77" s="663"/>
      <c r="DY77" s="663"/>
      <c r="DZ77" s="663"/>
      <c r="EA77" s="663"/>
      <c r="EB77" s="663"/>
      <c r="EC77" s="663"/>
      <c r="ED77" s="663"/>
      <c r="EE77" s="663"/>
      <c r="EF77" s="663"/>
      <c r="EG77" s="663"/>
      <c r="EH77" s="663"/>
      <c r="EI77" s="663"/>
      <c r="EJ77" s="663"/>
      <c r="EK77" s="663"/>
      <c r="EL77" s="663"/>
      <c r="EM77" s="663"/>
      <c r="EN77" s="663"/>
      <c r="EO77" s="663"/>
      <c r="EP77" s="663"/>
      <c r="EQ77" s="663"/>
      <c r="ER77" s="663"/>
      <c r="ES77" s="663"/>
      <c r="ET77" s="663"/>
      <c r="EU77" s="663"/>
      <c r="EV77" s="663"/>
      <c r="EW77" s="663"/>
      <c r="EX77" s="663"/>
      <c r="EY77" s="663"/>
      <c r="EZ77" s="663"/>
      <c r="FA77" s="663"/>
      <c r="FB77" s="663"/>
      <c r="FC77" s="663"/>
      <c r="FD77" s="663"/>
      <c r="FE77" s="663"/>
      <c r="FF77" s="663"/>
      <c r="FG77" s="663"/>
      <c r="FH77" s="663"/>
      <c r="FI77" s="663"/>
      <c r="FJ77" s="663"/>
      <c r="FK77" s="663"/>
      <c r="FL77" s="663"/>
      <c r="FM77" s="663"/>
      <c r="FN77" s="663"/>
      <c r="FO77" s="663"/>
      <c r="FP77" s="663"/>
      <c r="FQ77" s="663"/>
      <c r="FR77" s="663"/>
      <c r="FS77" s="663"/>
      <c r="FT77" s="663"/>
      <c r="FU77" s="663"/>
      <c r="FV77" s="663"/>
      <c r="FW77" s="663"/>
      <c r="FX77" s="663"/>
      <c r="FY77" s="663"/>
      <c r="FZ77" s="663"/>
      <c r="GA77" s="663"/>
      <c r="GB77" s="663"/>
      <c r="GC77" s="663"/>
      <c r="GD77" s="663"/>
      <c r="GE77" s="663"/>
      <c r="GF77" s="663"/>
      <c r="GG77" s="663"/>
      <c r="GH77" s="663"/>
      <c r="GI77" s="663"/>
      <c r="GJ77" s="663"/>
      <c r="GK77" s="663"/>
      <c r="GL77" s="663"/>
      <c r="GM77" s="663"/>
      <c r="GN77" s="663"/>
      <c r="GO77" s="663"/>
      <c r="GP77" s="663"/>
      <c r="GQ77" s="663"/>
      <c r="GR77" s="663"/>
      <c r="GS77" s="663"/>
      <c r="GT77" s="663"/>
      <c r="GU77" s="663"/>
      <c r="GV77" s="663"/>
      <c r="GW77" s="663"/>
      <c r="GX77" s="663"/>
      <c r="GY77" s="663"/>
      <c r="GZ77" s="663"/>
      <c r="HA77" s="663"/>
      <c r="HB77" s="663"/>
      <c r="HC77" s="663"/>
      <c r="HD77" s="663"/>
      <c r="HE77" s="663"/>
      <c r="HF77" s="663"/>
      <c r="HG77" s="663"/>
      <c r="HH77" s="663"/>
      <c r="HI77" s="663"/>
      <c r="HJ77" s="663"/>
      <c r="HK77" s="663"/>
      <c r="HL77" s="663"/>
      <c r="HM77" s="663"/>
      <c r="HN77" s="663"/>
      <c r="HO77" s="663"/>
      <c r="HP77" s="663"/>
      <c r="HQ77" s="663"/>
      <c r="HR77" s="663"/>
      <c r="HS77" s="663"/>
      <c r="HT77" s="663"/>
      <c r="HU77" s="663"/>
      <c r="HV77" s="663"/>
      <c r="HW77" s="663"/>
      <c r="HX77" s="663"/>
      <c r="HY77" s="663"/>
      <c r="HZ77" s="663"/>
      <c r="IA77" s="663"/>
      <c r="IB77" s="663"/>
      <c r="IC77" s="663"/>
      <c r="ID77" s="663"/>
      <c r="IE77" s="663"/>
      <c r="IF77" s="663"/>
      <c r="IG77" s="663"/>
      <c r="IH77" s="663"/>
      <c r="II77" s="663"/>
      <c r="IJ77" s="663"/>
      <c r="IK77" s="663"/>
      <c r="IL77" s="663"/>
      <c r="IM77" s="663"/>
      <c r="IN77" s="663"/>
      <c r="IO77" s="663"/>
      <c r="IP77" s="663"/>
      <c r="IQ77" s="663"/>
      <c r="IR77" s="663"/>
      <c r="IS77" s="663"/>
      <c r="IT77" s="663"/>
      <c r="IU77" s="663"/>
      <c r="IV77" s="663"/>
    </row>
    <row r="78" spans="1:256" s="541" customFormat="1" ht="13.5" customHeight="1">
      <c r="A78" s="434"/>
      <c r="B78" s="435"/>
      <c r="C78" s="456"/>
      <c r="D78" s="456" t="s">
        <v>752</v>
      </c>
      <c r="E78" s="456"/>
      <c r="F78" s="1076">
        <f>3.2+7.2+7.7</f>
        <v>18.100000000000001</v>
      </c>
      <c r="G78" s="999"/>
      <c r="H78" s="999"/>
      <c r="I78" s="549"/>
      <c r="J78" s="937"/>
      <c r="K78" s="938"/>
      <c r="L78" s="662"/>
      <c r="M78" s="662"/>
      <c r="N78" s="662"/>
      <c r="O78" s="662"/>
      <c r="P78" s="662"/>
      <c r="Q78" s="662"/>
      <c r="R78" s="662"/>
      <c r="S78" s="662"/>
      <c r="T78" s="662"/>
      <c r="U78" s="662"/>
      <c r="V78" s="662"/>
      <c r="W78" s="662"/>
      <c r="X78" s="662"/>
      <c r="Y78" s="662"/>
      <c r="Z78" s="662"/>
      <c r="AA78" s="662"/>
      <c r="AB78" s="662"/>
      <c r="AC78" s="662"/>
      <c r="AD78" s="662"/>
      <c r="AE78" s="662"/>
      <c r="AF78" s="662"/>
      <c r="AG78" s="662"/>
      <c r="AH78" s="662"/>
      <c r="AI78" s="662"/>
      <c r="AJ78" s="662"/>
      <c r="AK78" s="662"/>
      <c r="AL78" s="662"/>
      <c r="AM78" s="662"/>
      <c r="AN78" s="662"/>
      <c r="AO78" s="662"/>
      <c r="AP78" s="662"/>
      <c r="AQ78" s="662"/>
      <c r="AR78" s="662"/>
      <c r="AS78" s="662"/>
      <c r="AT78" s="663"/>
      <c r="AU78" s="663"/>
      <c r="AV78" s="663"/>
      <c r="AW78" s="663"/>
      <c r="AX78" s="663"/>
      <c r="AY78" s="663"/>
      <c r="AZ78" s="663"/>
      <c r="BA78" s="663"/>
      <c r="BB78" s="663"/>
      <c r="BC78" s="663"/>
      <c r="BD78" s="663"/>
      <c r="BE78" s="663"/>
      <c r="BF78" s="663"/>
      <c r="BG78" s="663"/>
      <c r="BH78" s="663"/>
      <c r="BI78" s="663"/>
      <c r="BJ78" s="663"/>
      <c r="BK78" s="663"/>
      <c r="BL78" s="663"/>
      <c r="BM78" s="663"/>
      <c r="BN78" s="663"/>
      <c r="BO78" s="663"/>
      <c r="BP78" s="663"/>
      <c r="BQ78" s="663"/>
      <c r="BR78" s="663"/>
      <c r="BS78" s="663"/>
      <c r="BT78" s="663"/>
      <c r="BU78" s="663"/>
      <c r="BV78" s="663"/>
      <c r="BW78" s="663"/>
      <c r="BX78" s="663"/>
      <c r="BY78" s="663"/>
      <c r="BZ78" s="663"/>
      <c r="CA78" s="663"/>
      <c r="CB78" s="663"/>
      <c r="CC78" s="663"/>
      <c r="CD78" s="663"/>
      <c r="CE78" s="663"/>
      <c r="CF78" s="663"/>
      <c r="CG78" s="663"/>
      <c r="CH78" s="663"/>
      <c r="CI78" s="663"/>
      <c r="CJ78" s="663"/>
      <c r="CK78" s="663"/>
      <c r="CL78" s="663"/>
      <c r="CM78" s="663"/>
      <c r="CN78" s="663"/>
      <c r="CO78" s="663"/>
      <c r="CP78" s="663"/>
      <c r="CQ78" s="663"/>
      <c r="CR78" s="663"/>
      <c r="CS78" s="663"/>
      <c r="CT78" s="663"/>
      <c r="CU78" s="663"/>
      <c r="CV78" s="663"/>
      <c r="CW78" s="663"/>
      <c r="CX78" s="663"/>
      <c r="CY78" s="663"/>
      <c r="CZ78" s="663"/>
      <c r="DA78" s="663"/>
      <c r="DB78" s="663"/>
      <c r="DC78" s="663"/>
      <c r="DD78" s="663"/>
      <c r="DE78" s="663"/>
      <c r="DF78" s="663"/>
      <c r="DG78" s="663"/>
      <c r="DH78" s="663"/>
      <c r="DI78" s="663"/>
      <c r="DJ78" s="663"/>
      <c r="DK78" s="663"/>
      <c r="DL78" s="663"/>
      <c r="DM78" s="663"/>
      <c r="DN78" s="663"/>
      <c r="DO78" s="663"/>
      <c r="DP78" s="663"/>
      <c r="DQ78" s="663"/>
      <c r="DR78" s="663"/>
      <c r="DS78" s="663"/>
      <c r="DT78" s="663"/>
      <c r="DU78" s="663"/>
      <c r="DV78" s="663"/>
      <c r="DW78" s="663"/>
      <c r="DX78" s="663"/>
      <c r="DY78" s="663"/>
      <c r="DZ78" s="663"/>
      <c r="EA78" s="663"/>
      <c r="EB78" s="663"/>
      <c r="EC78" s="663"/>
      <c r="ED78" s="663"/>
      <c r="EE78" s="663"/>
      <c r="EF78" s="663"/>
      <c r="EG78" s="663"/>
      <c r="EH78" s="663"/>
      <c r="EI78" s="663"/>
      <c r="EJ78" s="663"/>
      <c r="EK78" s="663"/>
      <c r="EL78" s="663"/>
      <c r="EM78" s="663"/>
      <c r="EN78" s="663"/>
      <c r="EO78" s="663"/>
      <c r="EP78" s="663"/>
      <c r="EQ78" s="663"/>
      <c r="ER78" s="663"/>
      <c r="ES78" s="663"/>
      <c r="ET78" s="663"/>
      <c r="EU78" s="663"/>
      <c r="EV78" s="663"/>
      <c r="EW78" s="663"/>
      <c r="EX78" s="663"/>
      <c r="EY78" s="663"/>
      <c r="EZ78" s="663"/>
      <c r="FA78" s="663"/>
      <c r="FB78" s="663"/>
      <c r="FC78" s="663"/>
      <c r="FD78" s="663"/>
      <c r="FE78" s="663"/>
      <c r="FF78" s="663"/>
      <c r="FG78" s="663"/>
      <c r="FH78" s="663"/>
      <c r="FI78" s="663"/>
      <c r="FJ78" s="663"/>
      <c r="FK78" s="663"/>
      <c r="FL78" s="663"/>
      <c r="FM78" s="663"/>
      <c r="FN78" s="663"/>
      <c r="FO78" s="663"/>
      <c r="FP78" s="663"/>
      <c r="FQ78" s="663"/>
      <c r="FR78" s="663"/>
      <c r="FS78" s="663"/>
      <c r="FT78" s="663"/>
      <c r="FU78" s="663"/>
      <c r="FV78" s="663"/>
      <c r="FW78" s="663"/>
      <c r="FX78" s="663"/>
      <c r="FY78" s="663"/>
      <c r="FZ78" s="663"/>
      <c r="GA78" s="663"/>
      <c r="GB78" s="663"/>
      <c r="GC78" s="663"/>
      <c r="GD78" s="663"/>
      <c r="GE78" s="663"/>
      <c r="GF78" s="663"/>
      <c r="GG78" s="663"/>
      <c r="GH78" s="663"/>
      <c r="GI78" s="663"/>
      <c r="GJ78" s="663"/>
      <c r="GK78" s="663"/>
      <c r="GL78" s="663"/>
      <c r="GM78" s="663"/>
      <c r="GN78" s="663"/>
      <c r="GO78" s="663"/>
      <c r="GP78" s="663"/>
      <c r="GQ78" s="663"/>
      <c r="GR78" s="663"/>
      <c r="GS78" s="663"/>
      <c r="GT78" s="663"/>
      <c r="GU78" s="663"/>
      <c r="GV78" s="663"/>
      <c r="GW78" s="663"/>
      <c r="GX78" s="663"/>
      <c r="GY78" s="663"/>
      <c r="GZ78" s="663"/>
      <c r="HA78" s="663"/>
      <c r="HB78" s="663"/>
      <c r="HC78" s="663"/>
      <c r="HD78" s="663"/>
      <c r="HE78" s="663"/>
      <c r="HF78" s="663"/>
      <c r="HG78" s="663"/>
      <c r="HH78" s="663"/>
      <c r="HI78" s="663"/>
      <c r="HJ78" s="663"/>
      <c r="HK78" s="663"/>
      <c r="HL78" s="663"/>
      <c r="HM78" s="663"/>
      <c r="HN78" s="663"/>
      <c r="HO78" s="663"/>
      <c r="HP78" s="663"/>
      <c r="HQ78" s="663"/>
      <c r="HR78" s="663"/>
      <c r="HS78" s="663"/>
      <c r="HT78" s="663"/>
      <c r="HU78" s="663"/>
      <c r="HV78" s="663"/>
      <c r="HW78" s="663"/>
      <c r="HX78" s="663"/>
      <c r="HY78" s="663"/>
      <c r="HZ78" s="663"/>
      <c r="IA78" s="663"/>
      <c r="IB78" s="663"/>
      <c r="IC78" s="663"/>
      <c r="ID78" s="663"/>
      <c r="IE78" s="663"/>
      <c r="IF78" s="663"/>
      <c r="IG78" s="663"/>
      <c r="IH78" s="663"/>
      <c r="II78" s="663"/>
      <c r="IJ78" s="663"/>
      <c r="IK78" s="663"/>
      <c r="IL78" s="663"/>
      <c r="IM78" s="663"/>
      <c r="IN78" s="663"/>
      <c r="IO78" s="663"/>
      <c r="IP78" s="663"/>
      <c r="IQ78" s="663"/>
      <c r="IR78" s="663"/>
      <c r="IS78" s="663"/>
      <c r="IT78" s="663"/>
      <c r="IU78" s="663"/>
      <c r="IV78" s="663"/>
    </row>
    <row r="79" spans="1:256" s="541" customFormat="1" ht="13.5" customHeight="1">
      <c r="A79" s="434"/>
      <c r="B79" s="435"/>
      <c r="C79" s="456"/>
      <c r="D79" s="456" t="s">
        <v>116</v>
      </c>
      <c r="E79" s="456"/>
      <c r="F79" s="1076"/>
      <c r="G79" s="999"/>
      <c r="H79" s="999"/>
      <c r="I79" s="549"/>
      <c r="J79" s="937"/>
      <c r="K79" s="938"/>
      <c r="L79" s="662"/>
      <c r="M79" s="662"/>
      <c r="N79" s="662"/>
      <c r="O79" s="662"/>
      <c r="P79" s="662"/>
      <c r="Q79" s="662"/>
      <c r="R79" s="662"/>
      <c r="S79" s="662"/>
      <c r="T79" s="662"/>
      <c r="U79" s="662"/>
      <c r="V79" s="662"/>
      <c r="W79" s="662"/>
      <c r="X79" s="662"/>
      <c r="Y79" s="662"/>
      <c r="Z79" s="662"/>
      <c r="AA79" s="662"/>
      <c r="AB79" s="662"/>
      <c r="AC79" s="662"/>
      <c r="AD79" s="662"/>
      <c r="AE79" s="662"/>
      <c r="AF79" s="662"/>
      <c r="AG79" s="662"/>
      <c r="AH79" s="662"/>
      <c r="AI79" s="662"/>
      <c r="AJ79" s="662"/>
      <c r="AK79" s="662"/>
      <c r="AL79" s="662"/>
      <c r="AM79" s="662"/>
      <c r="AN79" s="662"/>
      <c r="AO79" s="662"/>
      <c r="AP79" s="662"/>
      <c r="AQ79" s="662"/>
      <c r="AR79" s="662"/>
      <c r="AS79" s="662"/>
      <c r="AT79" s="663"/>
      <c r="AU79" s="663"/>
      <c r="AV79" s="663"/>
      <c r="AW79" s="663"/>
      <c r="AX79" s="663"/>
      <c r="AY79" s="663"/>
      <c r="AZ79" s="663"/>
      <c r="BA79" s="663"/>
      <c r="BB79" s="663"/>
      <c r="BC79" s="663"/>
      <c r="BD79" s="663"/>
      <c r="BE79" s="663"/>
      <c r="BF79" s="663"/>
      <c r="BG79" s="663"/>
      <c r="BH79" s="663"/>
      <c r="BI79" s="663"/>
      <c r="BJ79" s="663"/>
      <c r="BK79" s="663"/>
      <c r="BL79" s="663"/>
      <c r="BM79" s="663"/>
      <c r="BN79" s="663"/>
      <c r="BO79" s="663"/>
      <c r="BP79" s="663"/>
      <c r="BQ79" s="663"/>
      <c r="BR79" s="663"/>
      <c r="BS79" s="663"/>
      <c r="BT79" s="663"/>
      <c r="BU79" s="663"/>
      <c r="BV79" s="663"/>
      <c r="BW79" s="663"/>
      <c r="BX79" s="663"/>
      <c r="BY79" s="663"/>
      <c r="BZ79" s="663"/>
      <c r="CA79" s="663"/>
      <c r="CB79" s="663"/>
      <c r="CC79" s="663"/>
      <c r="CD79" s="663"/>
      <c r="CE79" s="663"/>
      <c r="CF79" s="663"/>
      <c r="CG79" s="663"/>
      <c r="CH79" s="663"/>
      <c r="CI79" s="663"/>
      <c r="CJ79" s="663"/>
      <c r="CK79" s="663"/>
      <c r="CL79" s="663"/>
      <c r="CM79" s="663"/>
      <c r="CN79" s="663"/>
      <c r="CO79" s="663"/>
      <c r="CP79" s="663"/>
      <c r="CQ79" s="663"/>
      <c r="CR79" s="663"/>
      <c r="CS79" s="663"/>
      <c r="CT79" s="663"/>
      <c r="CU79" s="663"/>
      <c r="CV79" s="663"/>
      <c r="CW79" s="663"/>
      <c r="CX79" s="663"/>
      <c r="CY79" s="663"/>
      <c r="CZ79" s="663"/>
      <c r="DA79" s="663"/>
      <c r="DB79" s="663"/>
      <c r="DC79" s="663"/>
      <c r="DD79" s="663"/>
      <c r="DE79" s="663"/>
      <c r="DF79" s="663"/>
      <c r="DG79" s="663"/>
      <c r="DH79" s="663"/>
      <c r="DI79" s="663"/>
      <c r="DJ79" s="663"/>
      <c r="DK79" s="663"/>
      <c r="DL79" s="663"/>
      <c r="DM79" s="663"/>
      <c r="DN79" s="663"/>
      <c r="DO79" s="663"/>
      <c r="DP79" s="663"/>
      <c r="DQ79" s="663"/>
      <c r="DR79" s="663"/>
      <c r="DS79" s="663"/>
      <c r="DT79" s="663"/>
      <c r="DU79" s="663"/>
      <c r="DV79" s="663"/>
      <c r="DW79" s="663"/>
      <c r="DX79" s="663"/>
      <c r="DY79" s="663"/>
      <c r="DZ79" s="663"/>
      <c r="EA79" s="663"/>
      <c r="EB79" s="663"/>
      <c r="EC79" s="663"/>
      <c r="ED79" s="663"/>
      <c r="EE79" s="663"/>
      <c r="EF79" s="663"/>
      <c r="EG79" s="663"/>
      <c r="EH79" s="663"/>
      <c r="EI79" s="663"/>
      <c r="EJ79" s="663"/>
      <c r="EK79" s="663"/>
      <c r="EL79" s="663"/>
      <c r="EM79" s="663"/>
      <c r="EN79" s="663"/>
      <c r="EO79" s="663"/>
      <c r="EP79" s="663"/>
      <c r="EQ79" s="663"/>
      <c r="ER79" s="663"/>
      <c r="ES79" s="663"/>
      <c r="ET79" s="663"/>
      <c r="EU79" s="663"/>
      <c r="EV79" s="663"/>
      <c r="EW79" s="663"/>
      <c r="EX79" s="663"/>
      <c r="EY79" s="663"/>
      <c r="EZ79" s="663"/>
      <c r="FA79" s="663"/>
      <c r="FB79" s="663"/>
      <c r="FC79" s="663"/>
      <c r="FD79" s="663"/>
      <c r="FE79" s="663"/>
      <c r="FF79" s="663"/>
      <c r="FG79" s="663"/>
      <c r="FH79" s="663"/>
      <c r="FI79" s="663"/>
      <c r="FJ79" s="663"/>
      <c r="FK79" s="663"/>
      <c r="FL79" s="663"/>
      <c r="FM79" s="663"/>
      <c r="FN79" s="663"/>
      <c r="FO79" s="663"/>
      <c r="FP79" s="663"/>
      <c r="FQ79" s="663"/>
      <c r="FR79" s="663"/>
      <c r="FS79" s="663"/>
      <c r="FT79" s="663"/>
      <c r="FU79" s="663"/>
      <c r="FV79" s="663"/>
      <c r="FW79" s="663"/>
      <c r="FX79" s="663"/>
      <c r="FY79" s="663"/>
      <c r="FZ79" s="663"/>
      <c r="GA79" s="663"/>
      <c r="GB79" s="663"/>
      <c r="GC79" s="663"/>
      <c r="GD79" s="663"/>
      <c r="GE79" s="663"/>
      <c r="GF79" s="663"/>
      <c r="GG79" s="663"/>
      <c r="GH79" s="663"/>
      <c r="GI79" s="663"/>
      <c r="GJ79" s="663"/>
      <c r="GK79" s="663"/>
      <c r="GL79" s="663"/>
      <c r="GM79" s="663"/>
      <c r="GN79" s="663"/>
      <c r="GO79" s="663"/>
      <c r="GP79" s="663"/>
      <c r="GQ79" s="663"/>
      <c r="GR79" s="663"/>
      <c r="GS79" s="663"/>
      <c r="GT79" s="663"/>
      <c r="GU79" s="663"/>
      <c r="GV79" s="663"/>
      <c r="GW79" s="663"/>
      <c r="GX79" s="663"/>
      <c r="GY79" s="663"/>
      <c r="GZ79" s="663"/>
      <c r="HA79" s="663"/>
      <c r="HB79" s="663"/>
      <c r="HC79" s="663"/>
      <c r="HD79" s="663"/>
      <c r="HE79" s="663"/>
      <c r="HF79" s="663"/>
      <c r="HG79" s="663"/>
      <c r="HH79" s="663"/>
      <c r="HI79" s="663"/>
      <c r="HJ79" s="663"/>
      <c r="HK79" s="663"/>
      <c r="HL79" s="663"/>
      <c r="HM79" s="663"/>
      <c r="HN79" s="663"/>
      <c r="HO79" s="663"/>
      <c r="HP79" s="663"/>
      <c r="HQ79" s="663"/>
      <c r="HR79" s="663"/>
      <c r="HS79" s="663"/>
      <c r="HT79" s="663"/>
      <c r="HU79" s="663"/>
      <c r="HV79" s="663"/>
      <c r="HW79" s="663"/>
      <c r="HX79" s="663"/>
      <c r="HY79" s="663"/>
      <c r="HZ79" s="663"/>
      <c r="IA79" s="663"/>
      <c r="IB79" s="663"/>
      <c r="IC79" s="663"/>
      <c r="ID79" s="663"/>
      <c r="IE79" s="663"/>
      <c r="IF79" s="663"/>
      <c r="IG79" s="663"/>
      <c r="IH79" s="663"/>
      <c r="II79" s="663"/>
      <c r="IJ79" s="663"/>
      <c r="IK79" s="663"/>
      <c r="IL79" s="663"/>
      <c r="IM79" s="663"/>
      <c r="IN79" s="663"/>
      <c r="IO79" s="663"/>
      <c r="IP79" s="663"/>
      <c r="IQ79" s="663"/>
      <c r="IR79" s="663"/>
      <c r="IS79" s="663"/>
      <c r="IT79" s="663"/>
      <c r="IU79" s="663"/>
      <c r="IV79" s="663"/>
    </row>
    <row r="80" spans="1:256" s="541" customFormat="1" ht="13.5" customHeight="1">
      <c r="A80" s="1158">
        <v>19</v>
      </c>
      <c r="B80" s="1074">
        <v>221</v>
      </c>
      <c r="C80" s="1074">
        <v>113204111</v>
      </c>
      <c r="D80" s="1074" t="s">
        <v>117</v>
      </c>
      <c r="E80" s="1074" t="s">
        <v>115</v>
      </c>
      <c r="F80" s="1096">
        <f>SUM(F81:F81)</f>
        <v>13.8</v>
      </c>
      <c r="G80" s="1209"/>
      <c r="H80" s="1159">
        <f>F80*G80</f>
        <v>0</v>
      </c>
      <c r="I80" s="533" t="s">
        <v>738</v>
      </c>
      <c r="J80" s="937"/>
      <c r="K80" s="938"/>
      <c r="L80" s="662"/>
      <c r="M80" s="662"/>
      <c r="N80" s="662"/>
      <c r="O80" s="662"/>
      <c r="P80" s="662"/>
      <c r="Q80" s="662"/>
      <c r="R80" s="662"/>
      <c r="S80" s="662"/>
      <c r="T80" s="662"/>
      <c r="U80" s="662"/>
      <c r="V80" s="662"/>
      <c r="W80" s="662"/>
      <c r="X80" s="662"/>
      <c r="Y80" s="662"/>
      <c r="Z80" s="662"/>
      <c r="AA80" s="662"/>
      <c r="AB80" s="662"/>
      <c r="AC80" s="662"/>
      <c r="AD80" s="662"/>
      <c r="AE80" s="662"/>
      <c r="AF80" s="662"/>
      <c r="AG80" s="662"/>
      <c r="AH80" s="662"/>
      <c r="AI80" s="662"/>
      <c r="AJ80" s="662"/>
      <c r="AK80" s="662"/>
      <c r="AL80" s="662"/>
      <c r="AM80" s="662"/>
      <c r="AN80" s="662"/>
      <c r="AO80" s="662"/>
      <c r="AP80" s="662"/>
      <c r="AQ80" s="662"/>
      <c r="AR80" s="662"/>
      <c r="AS80" s="662"/>
      <c r="AT80" s="663"/>
      <c r="AU80" s="663"/>
      <c r="AV80" s="663"/>
      <c r="AW80" s="663"/>
      <c r="AX80" s="663"/>
      <c r="AY80" s="663"/>
      <c r="AZ80" s="663"/>
      <c r="BA80" s="663"/>
      <c r="BB80" s="663"/>
      <c r="BC80" s="663"/>
      <c r="BD80" s="663"/>
      <c r="BE80" s="663"/>
      <c r="BF80" s="663"/>
      <c r="BG80" s="663"/>
      <c r="BH80" s="663"/>
      <c r="BI80" s="663"/>
      <c r="BJ80" s="663"/>
      <c r="BK80" s="663"/>
      <c r="BL80" s="663"/>
      <c r="BM80" s="663"/>
      <c r="BN80" s="663"/>
      <c r="BO80" s="663"/>
      <c r="BP80" s="663"/>
      <c r="BQ80" s="663"/>
      <c r="BR80" s="663"/>
      <c r="BS80" s="663"/>
      <c r="BT80" s="663"/>
      <c r="BU80" s="663"/>
      <c r="BV80" s="663"/>
      <c r="BW80" s="663"/>
      <c r="BX80" s="663"/>
      <c r="BY80" s="663"/>
      <c r="BZ80" s="663"/>
      <c r="CA80" s="663"/>
      <c r="CB80" s="663"/>
      <c r="CC80" s="663"/>
      <c r="CD80" s="663"/>
      <c r="CE80" s="663"/>
      <c r="CF80" s="663"/>
      <c r="CG80" s="663"/>
      <c r="CH80" s="663"/>
      <c r="CI80" s="663"/>
      <c r="CJ80" s="663"/>
      <c r="CK80" s="663"/>
      <c r="CL80" s="663"/>
      <c r="CM80" s="663"/>
      <c r="CN80" s="663"/>
      <c r="CO80" s="663"/>
      <c r="CP80" s="663"/>
      <c r="CQ80" s="663"/>
      <c r="CR80" s="663"/>
      <c r="CS80" s="663"/>
      <c r="CT80" s="663"/>
      <c r="CU80" s="663"/>
      <c r="CV80" s="663"/>
      <c r="CW80" s="663"/>
      <c r="CX80" s="663"/>
      <c r="CY80" s="663"/>
      <c r="CZ80" s="663"/>
      <c r="DA80" s="663"/>
      <c r="DB80" s="663"/>
      <c r="DC80" s="663"/>
      <c r="DD80" s="663"/>
      <c r="DE80" s="663"/>
      <c r="DF80" s="663"/>
      <c r="DG80" s="663"/>
      <c r="DH80" s="663"/>
      <c r="DI80" s="663"/>
      <c r="DJ80" s="663"/>
      <c r="DK80" s="663"/>
      <c r="DL80" s="663"/>
      <c r="DM80" s="663"/>
      <c r="DN80" s="663"/>
      <c r="DO80" s="663"/>
      <c r="DP80" s="663"/>
      <c r="DQ80" s="663"/>
      <c r="DR80" s="663"/>
      <c r="DS80" s="663"/>
      <c r="DT80" s="663"/>
      <c r="DU80" s="663"/>
      <c r="DV80" s="663"/>
      <c r="DW80" s="663"/>
      <c r="DX80" s="663"/>
      <c r="DY80" s="663"/>
      <c r="DZ80" s="663"/>
      <c r="EA80" s="663"/>
      <c r="EB80" s="663"/>
      <c r="EC80" s="663"/>
      <c r="ED80" s="663"/>
      <c r="EE80" s="663"/>
      <c r="EF80" s="663"/>
      <c r="EG80" s="663"/>
      <c r="EH80" s="663"/>
      <c r="EI80" s="663"/>
      <c r="EJ80" s="663"/>
      <c r="EK80" s="663"/>
      <c r="EL80" s="663"/>
      <c r="EM80" s="663"/>
      <c r="EN80" s="663"/>
      <c r="EO80" s="663"/>
      <c r="EP80" s="663"/>
      <c r="EQ80" s="663"/>
      <c r="ER80" s="663"/>
      <c r="ES80" s="663"/>
      <c r="ET80" s="663"/>
      <c r="EU80" s="663"/>
      <c r="EV80" s="663"/>
      <c r="EW80" s="663"/>
      <c r="EX80" s="663"/>
      <c r="EY80" s="663"/>
      <c r="EZ80" s="663"/>
      <c r="FA80" s="663"/>
      <c r="FB80" s="663"/>
      <c r="FC80" s="663"/>
      <c r="FD80" s="663"/>
      <c r="FE80" s="663"/>
      <c r="FF80" s="663"/>
      <c r="FG80" s="663"/>
      <c r="FH80" s="663"/>
      <c r="FI80" s="663"/>
      <c r="FJ80" s="663"/>
      <c r="FK80" s="663"/>
      <c r="FL80" s="663"/>
      <c r="FM80" s="663"/>
      <c r="FN80" s="663"/>
      <c r="FO80" s="663"/>
      <c r="FP80" s="663"/>
      <c r="FQ80" s="663"/>
      <c r="FR80" s="663"/>
      <c r="FS80" s="663"/>
      <c r="FT80" s="663"/>
      <c r="FU80" s="663"/>
      <c r="FV80" s="663"/>
      <c r="FW80" s="663"/>
      <c r="FX80" s="663"/>
      <c r="FY80" s="663"/>
      <c r="FZ80" s="663"/>
      <c r="GA80" s="663"/>
      <c r="GB80" s="663"/>
      <c r="GC80" s="663"/>
      <c r="GD80" s="663"/>
      <c r="GE80" s="663"/>
      <c r="GF80" s="663"/>
      <c r="GG80" s="663"/>
      <c r="GH80" s="663"/>
      <c r="GI80" s="663"/>
      <c r="GJ80" s="663"/>
      <c r="GK80" s="663"/>
      <c r="GL80" s="663"/>
      <c r="GM80" s="663"/>
      <c r="GN80" s="663"/>
      <c r="GO80" s="663"/>
      <c r="GP80" s="663"/>
      <c r="GQ80" s="663"/>
      <c r="GR80" s="663"/>
      <c r="GS80" s="663"/>
      <c r="GT80" s="663"/>
      <c r="GU80" s="663"/>
      <c r="GV80" s="663"/>
      <c r="GW80" s="663"/>
      <c r="GX80" s="663"/>
      <c r="GY80" s="663"/>
      <c r="GZ80" s="663"/>
      <c r="HA80" s="663"/>
      <c r="HB80" s="663"/>
      <c r="HC80" s="663"/>
      <c r="HD80" s="663"/>
      <c r="HE80" s="663"/>
      <c r="HF80" s="663"/>
      <c r="HG80" s="663"/>
      <c r="HH80" s="663"/>
      <c r="HI80" s="663"/>
      <c r="HJ80" s="663"/>
      <c r="HK80" s="663"/>
      <c r="HL80" s="663"/>
      <c r="HM80" s="663"/>
      <c r="HN80" s="663"/>
      <c r="HO80" s="663"/>
      <c r="HP80" s="663"/>
      <c r="HQ80" s="663"/>
      <c r="HR80" s="663"/>
      <c r="HS80" s="663"/>
      <c r="HT80" s="663"/>
      <c r="HU80" s="663"/>
      <c r="HV80" s="663"/>
      <c r="HW80" s="663"/>
      <c r="HX80" s="663"/>
      <c r="HY80" s="663"/>
      <c r="HZ80" s="663"/>
      <c r="IA80" s="663"/>
      <c r="IB80" s="663"/>
      <c r="IC80" s="663"/>
      <c r="ID80" s="663"/>
      <c r="IE80" s="663"/>
      <c r="IF80" s="663"/>
      <c r="IG80" s="663"/>
      <c r="IH80" s="663"/>
      <c r="II80" s="663"/>
      <c r="IJ80" s="663"/>
      <c r="IK80" s="663"/>
      <c r="IL80" s="663"/>
      <c r="IM80" s="663"/>
      <c r="IN80" s="663"/>
      <c r="IO80" s="663"/>
      <c r="IP80" s="663"/>
      <c r="IQ80" s="663"/>
      <c r="IR80" s="663"/>
      <c r="IS80" s="663"/>
      <c r="IT80" s="663"/>
      <c r="IU80" s="663"/>
      <c r="IV80" s="663"/>
    </row>
    <row r="81" spans="1:256" s="541" customFormat="1" ht="13.5" customHeight="1">
      <c r="A81" s="434"/>
      <c r="B81" s="435"/>
      <c r="C81" s="456"/>
      <c r="D81" s="456" t="s">
        <v>829</v>
      </c>
      <c r="E81" s="456"/>
      <c r="F81" s="1076">
        <f>8.8+2+3</f>
        <v>13.8</v>
      </c>
      <c r="G81" s="999"/>
      <c r="H81" s="999"/>
      <c r="I81" s="549"/>
      <c r="J81" s="937"/>
      <c r="K81" s="938"/>
      <c r="L81" s="662"/>
      <c r="M81" s="662"/>
      <c r="N81" s="662"/>
      <c r="O81" s="662"/>
      <c r="P81" s="662"/>
      <c r="Q81" s="662"/>
      <c r="R81" s="662"/>
      <c r="S81" s="662"/>
      <c r="T81" s="662"/>
      <c r="U81" s="662"/>
      <c r="V81" s="662"/>
      <c r="W81" s="662"/>
      <c r="X81" s="662"/>
      <c r="Y81" s="662"/>
      <c r="Z81" s="662"/>
      <c r="AA81" s="662"/>
      <c r="AB81" s="662"/>
      <c r="AC81" s="662"/>
      <c r="AD81" s="662"/>
      <c r="AE81" s="662"/>
      <c r="AF81" s="662"/>
      <c r="AG81" s="662"/>
      <c r="AH81" s="662"/>
      <c r="AI81" s="662"/>
      <c r="AJ81" s="662"/>
      <c r="AK81" s="662"/>
      <c r="AL81" s="662"/>
      <c r="AM81" s="662"/>
      <c r="AN81" s="662"/>
      <c r="AO81" s="662"/>
      <c r="AP81" s="662"/>
      <c r="AQ81" s="662"/>
      <c r="AR81" s="662"/>
      <c r="AS81" s="662"/>
      <c r="AT81" s="663"/>
      <c r="AU81" s="663"/>
      <c r="AV81" s="663"/>
      <c r="AW81" s="663"/>
      <c r="AX81" s="663"/>
      <c r="AY81" s="663"/>
      <c r="AZ81" s="663"/>
      <c r="BA81" s="663"/>
      <c r="BB81" s="663"/>
      <c r="BC81" s="663"/>
      <c r="BD81" s="663"/>
      <c r="BE81" s="663"/>
      <c r="BF81" s="663"/>
      <c r="BG81" s="663"/>
      <c r="BH81" s="663"/>
      <c r="BI81" s="663"/>
      <c r="BJ81" s="663"/>
      <c r="BK81" s="663"/>
      <c r="BL81" s="663"/>
      <c r="BM81" s="663"/>
      <c r="BN81" s="663"/>
      <c r="BO81" s="663"/>
      <c r="BP81" s="663"/>
      <c r="BQ81" s="663"/>
      <c r="BR81" s="663"/>
      <c r="BS81" s="663"/>
      <c r="BT81" s="663"/>
      <c r="BU81" s="663"/>
      <c r="BV81" s="663"/>
      <c r="BW81" s="663"/>
      <c r="BX81" s="663"/>
      <c r="BY81" s="663"/>
      <c r="BZ81" s="663"/>
      <c r="CA81" s="663"/>
      <c r="CB81" s="663"/>
      <c r="CC81" s="663"/>
      <c r="CD81" s="663"/>
      <c r="CE81" s="663"/>
      <c r="CF81" s="663"/>
      <c r="CG81" s="663"/>
      <c r="CH81" s="663"/>
      <c r="CI81" s="663"/>
      <c r="CJ81" s="663"/>
      <c r="CK81" s="663"/>
      <c r="CL81" s="663"/>
      <c r="CM81" s="663"/>
      <c r="CN81" s="663"/>
      <c r="CO81" s="663"/>
      <c r="CP81" s="663"/>
      <c r="CQ81" s="663"/>
      <c r="CR81" s="663"/>
      <c r="CS81" s="663"/>
      <c r="CT81" s="663"/>
      <c r="CU81" s="663"/>
      <c r="CV81" s="663"/>
      <c r="CW81" s="663"/>
      <c r="CX81" s="663"/>
      <c r="CY81" s="663"/>
      <c r="CZ81" s="663"/>
      <c r="DA81" s="663"/>
      <c r="DB81" s="663"/>
      <c r="DC81" s="663"/>
      <c r="DD81" s="663"/>
      <c r="DE81" s="663"/>
      <c r="DF81" s="663"/>
      <c r="DG81" s="663"/>
      <c r="DH81" s="663"/>
      <c r="DI81" s="663"/>
      <c r="DJ81" s="663"/>
      <c r="DK81" s="663"/>
      <c r="DL81" s="663"/>
      <c r="DM81" s="663"/>
      <c r="DN81" s="663"/>
      <c r="DO81" s="663"/>
      <c r="DP81" s="663"/>
      <c r="DQ81" s="663"/>
      <c r="DR81" s="663"/>
      <c r="DS81" s="663"/>
      <c r="DT81" s="663"/>
      <c r="DU81" s="663"/>
      <c r="DV81" s="663"/>
      <c r="DW81" s="663"/>
      <c r="DX81" s="663"/>
      <c r="DY81" s="663"/>
      <c r="DZ81" s="663"/>
      <c r="EA81" s="663"/>
      <c r="EB81" s="663"/>
      <c r="EC81" s="663"/>
      <c r="ED81" s="663"/>
      <c r="EE81" s="663"/>
      <c r="EF81" s="663"/>
      <c r="EG81" s="663"/>
      <c r="EH81" s="663"/>
      <c r="EI81" s="663"/>
      <c r="EJ81" s="663"/>
      <c r="EK81" s="663"/>
      <c r="EL81" s="663"/>
      <c r="EM81" s="663"/>
      <c r="EN81" s="663"/>
      <c r="EO81" s="663"/>
      <c r="EP81" s="663"/>
      <c r="EQ81" s="663"/>
      <c r="ER81" s="663"/>
      <c r="ES81" s="663"/>
      <c r="ET81" s="663"/>
      <c r="EU81" s="663"/>
      <c r="EV81" s="663"/>
      <c r="EW81" s="663"/>
      <c r="EX81" s="663"/>
      <c r="EY81" s="663"/>
      <c r="EZ81" s="663"/>
      <c r="FA81" s="663"/>
      <c r="FB81" s="663"/>
      <c r="FC81" s="663"/>
      <c r="FD81" s="663"/>
      <c r="FE81" s="663"/>
      <c r="FF81" s="663"/>
      <c r="FG81" s="663"/>
      <c r="FH81" s="663"/>
      <c r="FI81" s="663"/>
      <c r="FJ81" s="663"/>
      <c r="FK81" s="663"/>
      <c r="FL81" s="663"/>
      <c r="FM81" s="663"/>
      <c r="FN81" s="663"/>
      <c r="FO81" s="663"/>
      <c r="FP81" s="663"/>
      <c r="FQ81" s="663"/>
      <c r="FR81" s="663"/>
      <c r="FS81" s="663"/>
      <c r="FT81" s="663"/>
      <c r="FU81" s="663"/>
      <c r="FV81" s="663"/>
      <c r="FW81" s="663"/>
      <c r="FX81" s="663"/>
      <c r="FY81" s="663"/>
      <c r="FZ81" s="663"/>
      <c r="GA81" s="663"/>
      <c r="GB81" s="663"/>
      <c r="GC81" s="663"/>
      <c r="GD81" s="663"/>
      <c r="GE81" s="663"/>
      <c r="GF81" s="663"/>
      <c r="GG81" s="663"/>
      <c r="GH81" s="663"/>
      <c r="GI81" s="663"/>
      <c r="GJ81" s="663"/>
      <c r="GK81" s="663"/>
      <c r="GL81" s="663"/>
      <c r="GM81" s="663"/>
      <c r="GN81" s="663"/>
      <c r="GO81" s="663"/>
      <c r="GP81" s="663"/>
      <c r="GQ81" s="663"/>
      <c r="GR81" s="663"/>
      <c r="GS81" s="663"/>
      <c r="GT81" s="663"/>
      <c r="GU81" s="663"/>
      <c r="GV81" s="663"/>
      <c r="GW81" s="663"/>
      <c r="GX81" s="663"/>
      <c r="GY81" s="663"/>
      <c r="GZ81" s="663"/>
      <c r="HA81" s="663"/>
      <c r="HB81" s="663"/>
      <c r="HC81" s="663"/>
      <c r="HD81" s="663"/>
      <c r="HE81" s="663"/>
      <c r="HF81" s="663"/>
      <c r="HG81" s="663"/>
      <c r="HH81" s="663"/>
      <c r="HI81" s="663"/>
      <c r="HJ81" s="663"/>
      <c r="HK81" s="663"/>
      <c r="HL81" s="663"/>
      <c r="HM81" s="663"/>
      <c r="HN81" s="663"/>
      <c r="HO81" s="663"/>
      <c r="HP81" s="663"/>
      <c r="HQ81" s="663"/>
      <c r="HR81" s="663"/>
      <c r="HS81" s="663"/>
      <c r="HT81" s="663"/>
      <c r="HU81" s="663"/>
      <c r="HV81" s="663"/>
      <c r="HW81" s="663"/>
      <c r="HX81" s="663"/>
      <c r="HY81" s="663"/>
      <c r="HZ81" s="663"/>
      <c r="IA81" s="663"/>
      <c r="IB81" s="663"/>
      <c r="IC81" s="663"/>
      <c r="ID81" s="663"/>
      <c r="IE81" s="663"/>
      <c r="IF81" s="663"/>
      <c r="IG81" s="663"/>
      <c r="IH81" s="663"/>
      <c r="II81" s="663"/>
      <c r="IJ81" s="663"/>
      <c r="IK81" s="663"/>
      <c r="IL81" s="663"/>
      <c r="IM81" s="663"/>
      <c r="IN81" s="663"/>
      <c r="IO81" s="663"/>
      <c r="IP81" s="663"/>
      <c r="IQ81" s="663"/>
      <c r="IR81" s="663"/>
      <c r="IS81" s="663"/>
      <c r="IT81" s="663"/>
      <c r="IU81" s="663"/>
      <c r="IV81" s="663"/>
    </row>
    <row r="82" spans="1:256" s="541" customFormat="1" ht="13.5" customHeight="1">
      <c r="A82" s="434"/>
      <c r="B82" s="435"/>
      <c r="C82" s="456"/>
      <c r="D82" s="456" t="s">
        <v>116</v>
      </c>
      <c r="E82" s="456"/>
      <c r="F82" s="1076"/>
      <c r="G82" s="999"/>
      <c r="H82" s="999"/>
      <c r="I82" s="549"/>
      <c r="J82" s="937"/>
      <c r="K82" s="938"/>
      <c r="L82" s="662"/>
      <c r="M82" s="662"/>
      <c r="N82" s="662"/>
      <c r="O82" s="662"/>
      <c r="P82" s="662"/>
      <c r="Q82" s="662"/>
      <c r="R82" s="662"/>
      <c r="S82" s="662"/>
      <c r="T82" s="662"/>
      <c r="U82" s="662"/>
      <c r="V82" s="662"/>
      <c r="W82" s="662"/>
      <c r="X82" s="662"/>
      <c r="Y82" s="662"/>
      <c r="Z82" s="662"/>
      <c r="AA82" s="662"/>
      <c r="AB82" s="662"/>
      <c r="AC82" s="662"/>
      <c r="AD82" s="662"/>
      <c r="AE82" s="662"/>
      <c r="AF82" s="662"/>
      <c r="AG82" s="662"/>
      <c r="AH82" s="662"/>
      <c r="AI82" s="662"/>
      <c r="AJ82" s="662"/>
      <c r="AK82" s="662"/>
      <c r="AL82" s="662"/>
      <c r="AM82" s="662"/>
      <c r="AN82" s="662"/>
      <c r="AO82" s="662"/>
      <c r="AP82" s="662"/>
      <c r="AQ82" s="662"/>
      <c r="AR82" s="662"/>
      <c r="AS82" s="662"/>
      <c r="AT82" s="663"/>
      <c r="AU82" s="663"/>
      <c r="AV82" s="663"/>
      <c r="AW82" s="663"/>
      <c r="AX82" s="663"/>
      <c r="AY82" s="663"/>
      <c r="AZ82" s="663"/>
      <c r="BA82" s="663"/>
      <c r="BB82" s="663"/>
      <c r="BC82" s="663"/>
      <c r="BD82" s="663"/>
      <c r="BE82" s="663"/>
      <c r="BF82" s="663"/>
      <c r="BG82" s="663"/>
      <c r="BH82" s="663"/>
      <c r="BI82" s="663"/>
      <c r="BJ82" s="663"/>
      <c r="BK82" s="663"/>
      <c r="BL82" s="663"/>
      <c r="BM82" s="663"/>
      <c r="BN82" s="663"/>
      <c r="BO82" s="663"/>
      <c r="BP82" s="663"/>
      <c r="BQ82" s="663"/>
      <c r="BR82" s="663"/>
      <c r="BS82" s="663"/>
      <c r="BT82" s="663"/>
      <c r="BU82" s="663"/>
      <c r="BV82" s="663"/>
      <c r="BW82" s="663"/>
      <c r="BX82" s="663"/>
      <c r="BY82" s="663"/>
      <c r="BZ82" s="663"/>
      <c r="CA82" s="663"/>
      <c r="CB82" s="663"/>
      <c r="CC82" s="663"/>
      <c r="CD82" s="663"/>
      <c r="CE82" s="663"/>
      <c r="CF82" s="663"/>
      <c r="CG82" s="663"/>
      <c r="CH82" s="663"/>
      <c r="CI82" s="663"/>
      <c r="CJ82" s="663"/>
      <c r="CK82" s="663"/>
      <c r="CL82" s="663"/>
      <c r="CM82" s="663"/>
      <c r="CN82" s="663"/>
      <c r="CO82" s="663"/>
      <c r="CP82" s="663"/>
      <c r="CQ82" s="663"/>
      <c r="CR82" s="663"/>
      <c r="CS82" s="663"/>
      <c r="CT82" s="663"/>
      <c r="CU82" s="663"/>
      <c r="CV82" s="663"/>
      <c r="CW82" s="663"/>
      <c r="CX82" s="663"/>
      <c r="CY82" s="663"/>
      <c r="CZ82" s="663"/>
      <c r="DA82" s="663"/>
      <c r="DB82" s="663"/>
      <c r="DC82" s="663"/>
      <c r="DD82" s="663"/>
      <c r="DE82" s="663"/>
      <c r="DF82" s="663"/>
      <c r="DG82" s="663"/>
      <c r="DH82" s="663"/>
      <c r="DI82" s="663"/>
      <c r="DJ82" s="663"/>
      <c r="DK82" s="663"/>
      <c r="DL82" s="663"/>
      <c r="DM82" s="663"/>
      <c r="DN82" s="663"/>
      <c r="DO82" s="663"/>
      <c r="DP82" s="663"/>
      <c r="DQ82" s="663"/>
      <c r="DR82" s="663"/>
      <c r="DS82" s="663"/>
      <c r="DT82" s="663"/>
      <c r="DU82" s="663"/>
      <c r="DV82" s="663"/>
      <c r="DW82" s="663"/>
      <c r="DX82" s="663"/>
      <c r="DY82" s="663"/>
      <c r="DZ82" s="663"/>
      <c r="EA82" s="663"/>
      <c r="EB82" s="663"/>
      <c r="EC82" s="663"/>
      <c r="ED82" s="663"/>
      <c r="EE82" s="663"/>
      <c r="EF82" s="663"/>
      <c r="EG82" s="663"/>
      <c r="EH82" s="663"/>
      <c r="EI82" s="663"/>
      <c r="EJ82" s="663"/>
      <c r="EK82" s="663"/>
      <c r="EL82" s="663"/>
      <c r="EM82" s="663"/>
      <c r="EN82" s="663"/>
      <c r="EO82" s="663"/>
      <c r="EP82" s="663"/>
      <c r="EQ82" s="663"/>
      <c r="ER82" s="663"/>
      <c r="ES82" s="663"/>
      <c r="ET82" s="663"/>
      <c r="EU82" s="663"/>
      <c r="EV82" s="663"/>
      <c r="EW82" s="663"/>
      <c r="EX82" s="663"/>
      <c r="EY82" s="663"/>
      <c r="EZ82" s="663"/>
      <c r="FA82" s="663"/>
      <c r="FB82" s="663"/>
      <c r="FC82" s="663"/>
      <c r="FD82" s="663"/>
      <c r="FE82" s="663"/>
      <c r="FF82" s="663"/>
      <c r="FG82" s="663"/>
      <c r="FH82" s="663"/>
      <c r="FI82" s="663"/>
      <c r="FJ82" s="663"/>
      <c r="FK82" s="663"/>
      <c r="FL82" s="663"/>
      <c r="FM82" s="663"/>
      <c r="FN82" s="663"/>
      <c r="FO82" s="663"/>
      <c r="FP82" s="663"/>
      <c r="FQ82" s="663"/>
      <c r="FR82" s="663"/>
      <c r="FS82" s="663"/>
      <c r="FT82" s="663"/>
      <c r="FU82" s="663"/>
      <c r="FV82" s="663"/>
      <c r="FW82" s="663"/>
      <c r="FX82" s="663"/>
      <c r="FY82" s="663"/>
      <c r="FZ82" s="663"/>
      <c r="GA82" s="663"/>
      <c r="GB82" s="663"/>
      <c r="GC82" s="663"/>
      <c r="GD82" s="663"/>
      <c r="GE82" s="663"/>
      <c r="GF82" s="663"/>
      <c r="GG82" s="663"/>
      <c r="GH82" s="663"/>
      <c r="GI82" s="663"/>
      <c r="GJ82" s="663"/>
      <c r="GK82" s="663"/>
      <c r="GL82" s="663"/>
      <c r="GM82" s="663"/>
      <c r="GN82" s="663"/>
      <c r="GO82" s="663"/>
      <c r="GP82" s="663"/>
      <c r="GQ82" s="663"/>
      <c r="GR82" s="663"/>
      <c r="GS82" s="663"/>
      <c r="GT82" s="663"/>
      <c r="GU82" s="663"/>
      <c r="GV82" s="663"/>
      <c r="GW82" s="663"/>
      <c r="GX82" s="663"/>
      <c r="GY82" s="663"/>
      <c r="GZ82" s="663"/>
      <c r="HA82" s="663"/>
      <c r="HB82" s="663"/>
      <c r="HC82" s="663"/>
      <c r="HD82" s="663"/>
      <c r="HE82" s="663"/>
      <c r="HF82" s="663"/>
      <c r="HG82" s="663"/>
      <c r="HH82" s="663"/>
      <c r="HI82" s="663"/>
      <c r="HJ82" s="663"/>
      <c r="HK82" s="663"/>
      <c r="HL82" s="663"/>
      <c r="HM82" s="663"/>
      <c r="HN82" s="663"/>
      <c r="HO82" s="663"/>
      <c r="HP82" s="663"/>
      <c r="HQ82" s="663"/>
      <c r="HR82" s="663"/>
      <c r="HS82" s="663"/>
      <c r="HT82" s="663"/>
      <c r="HU82" s="663"/>
      <c r="HV82" s="663"/>
      <c r="HW82" s="663"/>
      <c r="HX82" s="663"/>
      <c r="HY82" s="663"/>
      <c r="HZ82" s="663"/>
      <c r="IA82" s="663"/>
      <c r="IB82" s="663"/>
      <c r="IC82" s="663"/>
      <c r="ID82" s="663"/>
      <c r="IE82" s="663"/>
      <c r="IF82" s="663"/>
      <c r="IG82" s="663"/>
      <c r="IH82" s="663"/>
      <c r="II82" s="663"/>
      <c r="IJ82" s="663"/>
      <c r="IK82" s="663"/>
      <c r="IL82" s="663"/>
      <c r="IM82" s="663"/>
      <c r="IN82" s="663"/>
      <c r="IO82" s="663"/>
      <c r="IP82" s="663"/>
      <c r="IQ82" s="663"/>
      <c r="IR82" s="663"/>
      <c r="IS82" s="663"/>
      <c r="IT82" s="663"/>
      <c r="IU82" s="663"/>
      <c r="IV82" s="663"/>
    </row>
    <row r="83" spans="1:256" s="541" customFormat="1" ht="13.5" customHeight="1">
      <c r="A83" s="535">
        <v>20</v>
      </c>
      <c r="B83" s="536" t="s">
        <v>96</v>
      </c>
      <c r="C83" s="537">
        <v>121151103</v>
      </c>
      <c r="D83" s="537" t="s">
        <v>567</v>
      </c>
      <c r="E83" s="537" t="s">
        <v>98</v>
      </c>
      <c r="F83" s="538">
        <f>SUM(F84:F84)</f>
        <v>49</v>
      </c>
      <c r="G83" s="90"/>
      <c r="H83" s="539">
        <f>F83*G83</f>
        <v>0</v>
      </c>
      <c r="I83" s="533" t="s">
        <v>738</v>
      </c>
      <c r="J83" s="1162"/>
      <c r="K83" s="26"/>
      <c r="L83" s="825"/>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9"/>
      <c r="AU83" s="29"/>
      <c r="AV83" s="29"/>
      <c r="AW83" s="29"/>
      <c r="AX83" s="29"/>
    </row>
    <row r="84" spans="1:256" s="541" customFormat="1" ht="13.5" customHeight="1">
      <c r="A84" s="535"/>
      <c r="B84" s="537"/>
      <c r="C84" s="537"/>
      <c r="D84" s="542" t="s">
        <v>745</v>
      </c>
      <c r="E84" s="537"/>
      <c r="F84" s="543">
        <f>(6+0.5*2)*(6+0.5*2)</f>
        <v>49</v>
      </c>
      <c r="G84" s="544"/>
      <c r="H84" s="539"/>
      <c r="I84" s="545"/>
      <c r="J84" s="823"/>
      <c r="K84" s="551"/>
      <c r="L84" s="509"/>
      <c r="M84" s="509"/>
      <c r="N84" s="509"/>
      <c r="O84" s="509"/>
      <c r="P84" s="509"/>
      <c r="Q84" s="509"/>
      <c r="R84" s="509"/>
      <c r="S84" s="509"/>
      <c r="T84" s="509"/>
      <c r="U84" s="509"/>
      <c r="V84" s="509"/>
      <c r="W84" s="509"/>
      <c r="X84" s="509"/>
      <c r="Y84" s="509"/>
      <c r="Z84" s="509"/>
      <c r="AA84" s="509"/>
      <c r="AB84" s="509"/>
      <c r="AC84" s="509"/>
      <c r="AD84" s="509"/>
      <c r="AE84" s="509"/>
      <c r="AF84" s="509"/>
      <c r="AG84" s="509"/>
      <c r="AH84" s="509"/>
      <c r="AI84" s="509"/>
      <c r="AJ84" s="509"/>
      <c r="AK84" s="509"/>
      <c r="AL84" s="509"/>
      <c r="AM84" s="509"/>
      <c r="AN84" s="509"/>
      <c r="AO84" s="509"/>
      <c r="AP84" s="509"/>
      <c r="AQ84" s="509"/>
      <c r="AR84" s="509"/>
      <c r="AS84" s="509"/>
      <c r="AT84" s="508"/>
      <c r="AU84" s="508"/>
      <c r="AV84" s="508"/>
      <c r="AW84" s="508"/>
      <c r="AX84" s="508"/>
    </row>
    <row r="85" spans="1:256" s="508" customFormat="1" ht="13.5" customHeight="1">
      <c r="A85" s="530">
        <v>21</v>
      </c>
      <c r="B85" s="700" t="s">
        <v>96</v>
      </c>
      <c r="C85" s="34">
        <v>174251201</v>
      </c>
      <c r="D85" s="34" t="s">
        <v>419</v>
      </c>
      <c r="E85" s="34" t="s">
        <v>102</v>
      </c>
      <c r="F85" s="531">
        <f>SUM(F86)</f>
        <v>28</v>
      </c>
      <c r="G85" s="79"/>
      <c r="H85" s="532">
        <f>F85*G85</f>
        <v>0</v>
      </c>
      <c r="I85" s="533" t="s">
        <v>738</v>
      </c>
      <c r="J85" s="791"/>
      <c r="K85" s="452"/>
      <c r="L85" s="452"/>
      <c r="M85" s="452"/>
      <c r="N85" s="452"/>
      <c r="O85" s="452"/>
      <c r="P85" s="452"/>
      <c r="Q85" s="452"/>
      <c r="R85" s="452"/>
      <c r="S85" s="452"/>
      <c r="T85" s="452"/>
      <c r="U85" s="452"/>
      <c r="V85" s="452"/>
      <c r="W85" s="452"/>
      <c r="X85" s="452"/>
      <c r="Y85" s="452"/>
      <c r="Z85" s="452"/>
      <c r="AA85" s="452"/>
      <c r="AB85" s="452"/>
      <c r="AC85" s="452"/>
      <c r="AD85" s="452"/>
      <c r="AE85" s="452"/>
      <c r="AF85" s="452"/>
      <c r="AG85" s="452"/>
      <c r="AH85" s="452"/>
      <c r="AI85" s="452"/>
      <c r="AJ85" s="452"/>
      <c r="AK85" s="452"/>
      <c r="AL85" s="509"/>
      <c r="AM85" s="509"/>
      <c r="AN85" s="509"/>
      <c r="AO85" s="509"/>
      <c r="AP85" s="509"/>
      <c r="AQ85" s="509"/>
      <c r="AR85" s="509"/>
      <c r="AS85" s="509"/>
    </row>
    <row r="86" spans="1:256" s="508" customFormat="1" ht="27" customHeight="1">
      <c r="A86" s="530"/>
      <c r="B86" s="700"/>
      <c r="C86" s="34"/>
      <c r="D86" s="36" t="s">
        <v>120</v>
      </c>
      <c r="E86" s="34"/>
      <c r="F86" s="548">
        <f>F41</f>
        <v>28</v>
      </c>
      <c r="G86" s="532"/>
      <c r="H86" s="532"/>
      <c r="I86" s="533"/>
      <c r="J86" s="1163"/>
      <c r="K86" s="569"/>
      <c r="L86" s="569"/>
      <c r="M86" s="569"/>
      <c r="N86" s="569"/>
      <c r="O86" s="569"/>
      <c r="P86" s="570"/>
      <c r="Q86" s="571"/>
      <c r="R86" s="572"/>
      <c r="S86" s="573"/>
      <c r="T86" s="573"/>
      <c r="U86" s="574"/>
      <c r="V86" s="452"/>
      <c r="W86" s="575"/>
      <c r="X86" s="452"/>
      <c r="Y86" s="452"/>
      <c r="Z86" s="452"/>
      <c r="AA86" s="452"/>
      <c r="AB86" s="452"/>
      <c r="AC86" s="452"/>
      <c r="AD86" s="452"/>
      <c r="AE86" s="452"/>
      <c r="AF86" s="452"/>
      <c r="AG86" s="452"/>
      <c r="AH86" s="452"/>
      <c r="AI86" s="452"/>
      <c r="AJ86" s="452"/>
      <c r="AK86" s="452"/>
      <c r="AL86" s="509"/>
      <c r="AM86" s="509"/>
      <c r="AN86" s="509"/>
      <c r="AO86" s="509"/>
      <c r="AP86" s="509"/>
      <c r="AQ86" s="509"/>
      <c r="AR86" s="509"/>
      <c r="AS86" s="509"/>
    </row>
    <row r="87" spans="1:256" s="508" customFormat="1" ht="13.5" customHeight="1">
      <c r="A87" s="530">
        <v>22</v>
      </c>
      <c r="B87" s="700" t="s">
        <v>96</v>
      </c>
      <c r="C87" s="34">
        <v>174251202</v>
      </c>
      <c r="D87" s="34" t="s">
        <v>420</v>
      </c>
      <c r="E87" s="34" t="s">
        <v>102</v>
      </c>
      <c r="F87" s="531">
        <f>SUM(F88)</f>
        <v>5</v>
      </c>
      <c r="G87" s="79"/>
      <c r="H87" s="532">
        <f>F87*G87</f>
        <v>0</v>
      </c>
      <c r="I87" s="533" t="s">
        <v>738</v>
      </c>
      <c r="J87" s="452"/>
      <c r="K87" s="452"/>
      <c r="L87" s="452"/>
      <c r="M87" s="452"/>
      <c r="N87" s="452"/>
      <c r="O87" s="452"/>
      <c r="P87" s="452"/>
      <c r="Q87" s="452"/>
      <c r="R87" s="452"/>
      <c r="S87" s="452"/>
      <c r="T87" s="452"/>
      <c r="U87" s="452"/>
      <c r="V87" s="452"/>
      <c r="W87" s="452"/>
      <c r="X87" s="452"/>
      <c r="Y87" s="452"/>
      <c r="Z87" s="452"/>
      <c r="AA87" s="452"/>
      <c r="AB87" s="452"/>
      <c r="AC87" s="452"/>
      <c r="AD87" s="452"/>
      <c r="AE87" s="452"/>
      <c r="AF87" s="452"/>
      <c r="AG87" s="452"/>
      <c r="AH87" s="452"/>
      <c r="AI87" s="452"/>
      <c r="AJ87" s="452"/>
      <c r="AK87" s="452"/>
      <c r="AL87" s="509"/>
      <c r="AM87" s="509"/>
      <c r="AN87" s="509"/>
      <c r="AO87" s="509"/>
      <c r="AP87" s="509"/>
      <c r="AQ87" s="509"/>
      <c r="AR87" s="509"/>
      <c r="AS87" s="509"/>
    </row>
    <row r="88" spans="1:256" s="508" customFormat="1" ht="27" customHeight="1">
      <c r="A88" s="530"/>
      <c r="B88" s="700"/>
      <c r="C88" s="34"/>
      <c r="D88" s="36" t="s">
        <v>120</v>
      </c>
      <c r="E88" s="34"/>
      <c r="F88" s="548">
        <v>5</v>
      </c>
      <c r="G88" s="532"/>
      <c r="H88" s="532"/>
      <c r="I88" s="533"/>
      <c r="J88" s="569"/>
      <c r="K88" s="569"/>
      <c r="L88" s="569"/>
      <c r="M88" s="569"/>
      <c r="N88" s="569"/>
      <c r="O88" s="569"/>
      <c r="P88" s="570"/>
      <c r="Q88" s="571"/>
      <c r="R88" s="572"/>
      <c r="S88" s="573"/>
      <c r="T88" s="573"/>
      <c r="U88" s="574"/>
      <c r="V88" s="452"/>
      <c r="W88" s="575"/>
      <c r="X88" s="452"/>
      <c r="Y88" s="452"/>
      <c r="Z88" s="452"/>
      <c r="AA88" s="452"/>
      <c r="AB88" s="452"/>
      <c r="AC88" s="452"/>
      <c r="AD88" s="452"/>
      <c r="AE88" s="452"/>
      <c r="AF88" s="452"/>
      <c r="AG88" s="452"/>
      <c r="AH88" s="452"/>
      <c r="AI88" s="452"/>
      <c r="AJ88" s="452"/>
      <c r="AK88" s="452"/>
      <c r="AL88" s="509"/>
      <c r="AM88" s="509"/>
      <c r="AN88" s="509"/>
      <c r="AO88" s="509"/>
      <c r="AP88" s="509"/>
      <c r="AQ88" s="509"/>
      <c r="AR88" s="509"/>
      <c r="AS88" s="509"/>
    </row>
    <row r="89" spans="1:256" s="508" customFormat="1" ht="13.5" customHeight="1">
      <c r="A89" s="530">
        <v>23</v>
      </c>
      <c r="B89" s="700" t="s">
        <v>96</v>
      </c>
      <c r="C89" s="34">
        <v>174251203</v>
      </c>
      <c r="D89" s="34" t="s">
        <v>421</v>
      </c>
      <c r="E89" s="34" t="s">
        <v>102</v>
      </c>
      <c r="F89" s="531">
        <f>SUM(F90)</f>
        <v>1</v>
      </c>
      <c r="G89" s="79"/>
      <c r="H89" s="532">
        <f>F89*G89</f>
        <v>0</v>
      </c>
      <c r="I89" s="533" t="s">
        <v>738</v>
      </c>
      <c r="J89" s="452"/>
      <c r="K89" s="452"/>
      <c r="L89" s="452"/>
      <c r="M89" s="452"/>
      <c r="N89" s="452"/>
      <c r="O89" s="452"/>
      <c r="P89" s="452"/>
      <c r="Q89" s="452"/>
      <c r="R89" s="452"/>
      <c r="S89" s="452"/>
      <c r="T89" s="452"/>
      <c r="U89" s="452"/>
      <c r="V89" s="452"/>
      <c r="W89" s="452"/>
      <c r="X89" s="452"/>
      <c r="Y89" s="452"/>
      <c r="Z89" s="452"/>
      <c r="AA89" s="452"/>
      <c r="AB89" s="452"/>
      <c r="AC89" s="452"/>
      <c r="AD89" s="452"/>
      <c r="AE89" s="452"/>
      <c r="AF89" s="452"/>
      <c r="AG89" s="452"/>
      <c r="AH89" s="452"/>
      <c r="AI89" s="452"/>
      <c r="AJ89" s="452"/>
      <c r="AK89" s="452"/>
      <c r="AL89" s="509"/>
      <c r="AM89" s="509"/>
      <c r="AN89" s="509"/>
      <c r="AO89" s="509"/>
      <c r="AP89" s="509"/>
      <c r="AQ89" s="509"/>
      <c r="AR89" s="509"/>
      <c r="AS89" s="509"/>
    </row>
    <row r="90" spans="1:256" s="508" customFormat="1" ht="27" customHeight="1">
      <c r="A90" s="530"/>
      <c r="B90" s="700"/>
      <c r="C90" s="34"/>
      <c r="D90" s="36" t="s">
        <v>120</v>
      </c>
      <c r="E90" s="34"/>
      <c r="F90" s="548">
        <f>F50</f>
        <v>1</v>
      </c>
      <c r="G90" s="532"/>
      <c r="H90" s="532"/>
      <c r="I90" s="533"/>
      <c r="J90" s="569"/>
      <c r="K90" s="569"/>
      <c r="L90" s="569"/>
      <c r="M90" s="569"/>
      <c r="N90" s="569"/>
      <c r="O90" s="569"/>
      <c r="P90" s="570"/>
      <c r="Q90" s="571"/>
      <c r="R90" s="572"/>
      <c r="S90" s="573"/>
      <c r="T90" s="573"/>
      <c r="U90" s="574"/>
      <c r="V90" s="452"/>
      <c r="W90" s="575"/>
      <c r="X90" s="452"/>
      <c r="Y90" s="452"/>
      <c r="Z90" s="452"/>
      <c r="AA90" s="452"/>
      <c r="AB90" s="452"/>
      <c r="AC90" s="452"/>
      <c r="AD90" s="452"/>
      <c r="AE90" s="452"/>
      <c r="AF90" s="452"/>
      <c r="AG90" s="452"/>
      <c r="AH90" s="452"/>
      <c r="AI90" s="452"/>
      <c r="AJ90" s="452"/>
      <c r="AK90" s="452"/>
      <c r="AL90" s="509"/>
      <c r="AM90" s="509"/>
      <c r="AN90" s="509"/>
      <c r="AO90" s="509"/>
      <c r="AP90" s="509"/>
      <c r="AQ90" s="509"/>
      <c r="AR90" s="509"/>
      <c r="AS90" s="509"/>
    </row>
    <row r="91" spans="1:256" s="508" customFormat="1" ht="13.5" customHeight="1">
      <c r="A91" s="530">
        <v>24</v>
      </c>
      <c r="B91" s="700" t="s">
        <v>96</v>
      </c>
      <c r="C91" s="34">
        <v>174251204</v>
      </c>
      <c r="D91" s="34" t="s">
        <v>422</v>
      </c>
      <c r="E91" s="34" t="s">
        <v>102</v>
      </c>
      <c r="F91" s="531">
        <f>SUM(F92)</f>
        <v>1</v>
      </c>
      <c r="G91" s="79"/>
      <c r="H91" s="532">
        <f>F91*G91</f>
        <v>0</v>
      </c>
      <c r="I91" s="533" t="s">
        <v>738</v>
      </c>
      <c r="J91" s="452"/>
      <c r="K91" s="452"/>
      <c r="L91" s="452"/>
      <c r="M91" s="452"/>
      <c r="N91" s="452"/>
      <c r="O91" s="452"/>
      <c r="P91" s="452"/>
      <c r="Q91" s="452"/>
      <c r="R91" s="452"/>
      <c r="S91" s="452"/>
      <c r="T91" s="452"/>
      <c r="U91" s="452"/>
      <c r="V91" s="452"/>
      <c r="W91" s="452"/>
      <c r="X91" s="452"/>
      <c r="Y91" s="452"/>
      <c r="Z91" s="452"/>
      <c r="AA91" s="452"/>
      <c r="AB91" s="452"/>
      <c r="AC91" s="452"/>
      <c r="AD91" s="452"/>
      <c r="AE91" s="452"/>
      <c r="AF91" s="452"/>
      <c r="AG91" s="452"/>
      <c r="AH91" s="452"/>
      <c r="AI91" s="452"/>
      <c r="AJ91" s="452"/>
      <c r="AK91" s="452"/>
      <c r="AL91" s="509"/>
      <c r="AM91" s="509"/>
      <c r="AN91" s="509"/>
      <c r="AO91" s="509"/>
      <c r="AP91" s="509"/>
      <c r="AQ91" s="509"/>
      <c r="AR91" s="509"/>
      <c r="AS91" s="509"/>
    </row>
    <row r="92" spans="1:256" s="508" customFormat="1" ht="27" customHeight="1">
      <c r="A92" s="530"/>
      <c r="B92" s="700"/>
      <c r="C92" s="34"/>
      <c r="D92" s="36" t="s">
        <v>120</v>
      </c>
      <c r="E92" s="34"/>
      <c r="F92" s="548">
        <f>F53</f>
        <v>1</v>
      </c>
      <c r="G92" s="532"/>
      <c r="H92" s="532"/>
      <c r="I92" s="533"/>
      <c r="J92" s="791"/>
      <c r="K92" s="569"/>
      <c r="L92" s="569"/>
      <c r="M92" s="791"/>
      <c r="N92" s="804"/>
      <c r="O92" s="1164"/>
      <c r="P92" s="888"/>
      <c r="Q92" s="857"/>
      <c r="R92" s="857"/>
      <c r="S92" s="573"/>
      <c r="T92" s="573"/>
      <c r="U92" s="574"/>
      <c r="V92" s="452"/>
      <c r="W92" s="575"/>
      <c r="X92" s="452"/>
      <c r="Y92" s="452"/>
      <c r="Z92" s="452"/>
      <c r="AA92" s="452"/>
      <c r="AB92" s="452"/>
      <c r="AC92" s="452"/>
      <c r="AD92" s="452"/>
      <c r="AE92" s="452"/>
      <c r="AF92" s="452"/>
      <c r="AG92" s="452"/>
      <c r="AH92" s="452"/>
      <c r="AI92" s="452"/>
      <c r="AJ92" s="452"/>
      <c r="AK92" s="452"/>
      <c r="AL92" s="509"/>
      <c r="AM92" s="509"/>
      <c r="AN92" s="509"/>
      <c r="AO92" s="509"/>
      <c r="AP92" s="509"/>
      <c r="AQ92" s="509"/>
      <c r="AR92" s="509"/>
      <c r="AS92" s="509"/>
    </row>
    <row r="93" spans="1:256" s="508" customFormat="1" ht="13.5" customHeight="1">
      <c r="A93" s="530">
        <v>25</v>
      </c>
      <c r="B93" s="700" t="s">
        <v>96</v>
      </c>
      <c r="C93" s="34">
        <v>174251205</v>
      </c>
      <c r="D93" s="34" t="s">
        <v>418</v>
      </c>
      <c r="E93" s="34" t="s">
        <v>102</v>
      </c>
      <c r="F93" s="531">
        <f>SUM(F94)</f>
        <v>1</v>
      </c>
      <c r="G93" s="79"/>
      <c r="H93" s="532">
        <f>F93*G93</f>
        <v>0</v>
      </c>
      <c r="I93" s="533" t="s">
        <v>738</v>
      </c>
      <c r="J93" s="452"/>
      <c r="K93" s="452"/>
      <c r="L93" s="452"/>
      <c r="M93" s="452"/>
      <c r="N93" s="452"/>
      <c r="O93" s="452"/>
      <c r="P93" s="452"/>
      <c r="Q93" s="452"/>
      <c r="R93" s="452"/>
      <c r="S93" s="452"/>
      <c r="T93" s="452"/>
      <c r="U93" s="452"/>
      <c r="V93" s="452"/>
      <c r="W93" s="452"/>
      <c r="X93" s="452"/>
      <c r="Y93" s="452"/>
      <c r="Z93" s="452"/>
      <c r="AA93" s="452"/>
      <c r="AB93" s="452"/>
      <c r="AC93" s="452"/>
      <c r="AD93" s="452"/>
      <c r="AE93" s="452"/>
      <c r="AF93" s="452"/>
      <c r="AG93" s="452"/>
      <c r="AH93" s="452"/>
      <c r="AI93" s="452"/>
      <c r="AJ93" s="452"/>
      <c r="AK93" s="452"/>
      <c r="AL93" s="509"/>
      <c r="AM93" s="509"/>
      <c r="AN93" s="509"/>
      <c r="AO93" s="509"/>
      <c r="AP93" s="509"/>
      <c r="AQ93" s="509"/>
      <c r="AR93" s="509"/>
      <c r="AS93" s="509"/>
    </row>
    <row r="94" spans="1:256" s="508" customFormat="1" ht="27" customHeight="1">
      <c r="A94" s="530"/>
      <c r="B94" s="700"/>
      <c r="C94" s="34"/>
      <c r="D94" s="36" t="s">
        <v>120</v>
      </c>
      <c r="E94" s="34"/>
      <c r="F94" s="548">
        <f>F56</f>
        <v>1</v>
      </c>
      <c r="G94" s="532"/>
      <c r="H94" s="532"/>
      <c r="I94" s="533"/>
      <c r="J94" s="791"/>
      <c r="K94" s="569"/>
      <c r="L94" s="569"/>
      <c r="M94" s="791"/>
      <c r="N94" s="804"/>
      <c r="O94" s="1164"/>
      <c r="P94" s="888"/>
      <c r="Q94" s="857"/>
      <c r="R94" s="857"/>
      <c r="S94" s="573"/>
      <c r="T94" s="573"/>
      <c r="U94" s="574"/>
      <c r="V94" s="452"/>
      <c r="W94" s="575"/>
      <c r="X94" s="452"/>
      <c r="Y94" s="452"/>
      <c r="Z94" s="452"/>
      <c r="AA94" s="452"/>
      <c r="AB94" s="452"/>
      <c r="AC94" s="452"/>
      <c r="AD94" s="452"/>
      <c r="AE94" s="452"/>
      <c r="AF94" s="452"/>
      <c r="AG94" s="452"/>
      <c r="AH94" s="452"/>
      <c r="AI94" s="452"/>
      <c r="AJ94" s="452"/>
      <c r="AK94" s="452"/>
      <c r="AL94" s="509"/>
      <c r="AM94" s="509"/>
      <c r="AN94" s="509"/>
      <c r="AO94" s="509"/>
      <c r="AP94" s="509"/>
      <c r="AQ94" s="509"/>
      <c r="AR94" s="509"/>
      <c r="AS94" s="509"/>
    </row>
    <row r="95" spans="1:256" s="508" customFormat="1" ht="13.5" customHeight="1">
      <c r="A95" s="530">
        <v>26</v>
      </c>
      <c r="B95" s="700" t="s">
        <v>96</v>
      </c>
      <c r="C95" s="34">
        <v>174251207</v>
      </c>
      <c r="D95" s="34" t="s">
        <v>423</v>
      </c>
      <c r="E95" s="34" t="s">
        <v>102</v>
      </c>
      <c r="F95" s="531">
        <f>SUM(F96)</f>
        <v>1</v>
      </c>
      <c r="G95" s="79"/>
      <c r="H95" s="532">
        <f>F95*G95</f>
        <v>0</v>
      </c>
      <c r="I95" s="533" t="s">
        <v>738</v>
      </c>
      <c r="J95" s="452"/>
      <c r="K95" s="452"/>
      <c r="L95" s="452"/>
      <c r="M95" s="452"/>
      <c r="N95" s="452"/>
      <c r="O95" s="452"/>
      <c r="P95" s="452"/>
      <c r="Q95" s="452"/>
      <c r="R95" s="452"/>
      <c r="S95" s="452"/>
      <c r="T95" s="452"/>
      <c r="U95" s="452"/>
      <c r="V95" s="452"/>
      <c r="W95" s="452"/>
      <c r="X95" s="452"/>
      <c r="Y95" s="452"/>
      <c r="Z95" s="452"/>
      <c r="AA95" s="452"/>
      <c r="AB95" s="452"/>
      <c r="AC95" s="452"/>
      <c r="AD95" s="452"/>
      <c r="AE95" s="452"/>
      <c r="AF95" s="452"/>
      <c r="AG95" s="452"/>
      <c r="AH95" s="452"/>
      <c r="AI95" s="452"/>
      <c r="AJ95" s="452"/>
      <c r="AK95" s="452"/>
      <c r="AL95" s="509"/>
      <c r="AM95" s="509"/>
      <c r="AN95" s="509"/>
      <c r="AO95" s="509"/>
      <c r="AP95" s="509"/>
      <c r="AQ95" s="509"/>
      <c r="AR95" s="509"/>
      <c r="AS95" s="509"/>
    </row>
    <row r="96" spans="1:256" s="508" customFormat="1" ht="27" customHeight="1">
      <c r="A96" s="530"/>
      <c r="B96" s="700"/>
      <c r="C96" s="34"/>
      <c r="D96" s="36" t="s">
        <v>120</v>
      </c>
      <c r="E96" s="34"/>
      <c r="F96" s="548">
        <f>F59</f>
        <v>1</v>
      </c>
      <c r="G96" s="532"/>
      <c r="H96" s="532"/>
      <c r="I96" s="533"/>
      <c r="J96" s="791"/>
      <c r="K96" s="569"/>
      <c r="L96" s="569"/>
      <c r="M96" s="791"/>
      <c r="N96" s="804"/>
      <c r="O96" s="1164"/>
      <c r="P96" s="888"/>
      <c r="Q96" s="857"/>
      <c r="R96" s="857"/>
      <c r="S96" s="573"/>
      <c r="T96" s="573"/>
      <c r="U96" s="574"/>
      <c r="V96" s="452"/>
      <c r="W96" s="575"/>
      <c r="X96" s="452"/>
      <c r="Y96" s="452"/>
      <c r="Z96" s="452"/>
      <c r="AA96" s="452"/>
      <c r="AB96" s="452"/>
      <c r="AC96" s="452"/>
      <c r="AD96" s="452"/>
      <c r="AE96" s="452"/>
      <c r="AF96" s="452"/>
      <c r="AG96" s="452"/>
      <c r="AH96" s="452"/>
      <c r="AI96" s="452"/>
      <c r="AJ96" s="452"/>
      <c r="AK96" s="452"/>
      <c r="AL96" s="509"/>
      <c r="AM96" s="509"/>
      <c r="AN96" s="509"/>
      <c r="AO96" s="509"/>
      <c r="AP96" s="509"/>
      <c r="AQ96" s="509"/>
      <c r="AR96" s="509"/>
      <c r="AS96" s="509"/>
    </row>
    <row r="97" spans="1:256" s="314" customFormat="1" ht="26.25" customHeight="1">
      <c r="A97" s="352">
        <v>27</v>
      </c>
      <c r="B97" s="353" t="s">
        <v>126</v>
      </c>
      <c r="C97" s="34">
        <v>181111121</v>
      </c>
      <c r="D97" s="34" t="s">
        <v>127</v>
      </c>
      <c r="E97" s="354" t="s">
        <v>98</v>
      </c>
      <c r="F97" s="355">
        <f>F98</f>
        <v>216.5</v>
      </c>
      <c r="G97" s="503"/>
      <c r="H97" s="356">
        <f>F97*G97</f>
        <v>0</v>
      </c>
      <c r="I97" s="533" t="s">
        <v>738</v>
      </c>
      <c r="J97" s="317"/>
      <c r="K97" s="313"/>
      <c r="L97" s="313"/>
      <c r="M97" s="357"/>
      <c r="N97" s="357"/>
      <c r="O97" s="313"/>
      <c r="P97" s="313"/>
      <c r="Q97" s="313"/>
      <c r="R97" s="313"/>
      <c r="S97" s="313"/>
      <c r="T97" s="313"/>
      <c r="U97" s="313"/>
      <c r="V97" s="313"/>
      <c r="W97" s="313"/>
      <c r="X97" s="313"/>
      <c r="Y97" s="313"/>
      <c r="Z97" s="313"/>
      <c r="AA97" s="313"/>
      <c r="AB97" s="313"/>
      <c r="AC97" s="313"/>
      <c r="AD97" s="313"/>
      <c r="AE97" s="313"/>
      <c r="AF97" s="313"/>
      <c r="AG97" s="313"/>
      <c r="AH97" s="313"/>
      <c r="AI97" s="313"/>
      <c r="AJ97" s="313"/>
      <c r="AK97" s="313"/>
      <c r="AL97" s="313"/>
      <c r="AM97" s="313"/>
      <c r="AN97" s="313"/>
      <c r="AO97" s="313"/>
      <c r="AP97" s="313"/>
      <c r="AQ97" s="313"/>
      <c r="AR97" s="313"/>
      <c r="AS97" s="313"/>
    </row>
    <row r="98" spans="1:256" s="314" customFormat="1" ht="13.5" customHeight="1">
      <c r="A98" s="352"/>
      <c r="B98" s="353"/>
      <c r="C98" s="354"/>
      <c r="D98" s="358" t="s">
        <v>424</v>
      </c>
      <c r="E98" s="354"/>
      <c r="F98" s="359">
        <f>(15.75+24.45)+(176.3)</f>
        <v>216.5</v>
      </c>
      <c r="G98" s="356"/>
      <c r="H98" s="356"/>
      <c r="I98" s="360"/>
      <c r="J98" s="322"/>
      <c r="K98" s="313"/>
      <c r="L98" s="313"/>
      <c r="M98" s="313"/>
      <c r="N98" s="313"/>
      <c r="O98" s="313"/>
      <c r="P98" s="313"/>
      <c r="Q98" s="313"/>
      <c r="R98" s="313"/>
      <c r="S98" s="313"/>
      <c r="T98" s="313"/>
      <c r="U98" s="313"/>
      <c r="V98" s="313"/>
      <c r="W98" s="313"/>
      <c r="X98" s="313"/>
      <c r="Y98" s="313"/>
      <c r="Z98" s="313"/>
      <c r="AA98" s="313"/>
      <c r="AB98" s="313"/>
      <c r="AC98" s="313"/>
      <c r="AD98" s="313"/>
      <c r="AE98" s="313"/>
      <c r="AF98" s="313"/>
      <c r="AG98" s="313"/>
      <c r="AH98" s="313"/>
      <c r="AI98" s="313"/>
      <c r="AJ98" s="313"/>
      <c r="AK98" s="313"/>
      <c r="AL98" s="313"/>
      <c r="AM98" s="313"/>
      <c r="AN98" s="313"/>
      <c r="AO98" s="313"/>
      <c r="AP98" s="313"/>
      <c r="AQ98" s="313"/>
      <c r="AR98" s="313"/>
      <c r="AS98" s="313"/>
    </row>
    <row r="99" spans="1:256" s="508" customFormat="1" ht="27" customHeight="1">
      <c r="A99" s="530">
        <v>28</v>
      </c>
      <c r="B99" s="700" t="s">
        <v>96</v>
      </c>
      <c r="C99" s="34" t="s">
        <v>238</v>
      </c>
      <c r="D99" s="34" t="s">
        <v>632</v>
      </c>
      <c r="E99" s="34" t="s">
        <v>122</v>
      </c>
      <c r="F99" s="534">
        <f>SUM(F100:F100)</f>
        <v>7.35</v>
      </c>
      <c r="G99" s="532">
        <f>SUM(H101:H104)/F99</f>
        <v>0</v>
      </c>
      <c r="H99" s="848">
        <f>F99*G99</f>
        <v>0</v>
      </c>
      <c r="I99" s="533" t="s">
        <v>739</v>
      </c>
      <c r="J99" s="546"/>
      <c r="K99" s="567"/>
      <c r="L99" s="578"/>
      <c r="M99" s="569"/>
      <c r="N99" s="569"/>
      <c r="O99" s="570"/>
      <c r="P99" s="571"/>
      <c r="Q99" s="572"/>
      <c r="R99" s="573"/>
      <c r="S99" s="573"/>
      <c r="T99" s="574"/>
      <c r="U99" s="452"/>
      <c r="V99" s="575"/>
      <c r="W99" s="452"/>
      <c r="X99" s="452"/>
      <c r="Y99" s="452"/>
      <c r="Z99" s="452"/>
      <c r="AA99" s="452"/>
      <c r="AB99" s="452"/>
      <c r="AC99" s="452"/>
      <c r="AD99" s="452"/>
      <c r="AE99" s="452"/>
      <c r="AF99" s="452"/>
      <c r="AG99" s="452"/>
      <c r="AH99" s="452"/>
      <c r="AI99" s="452"/>
      <c r="AJ99" s="452"/>
      <c r="AK99" s="452"/>
      <c r="AL99" s="452"/>
      <c r="AM99" s="452"/>
      <c r="AN99" s="452"/>
      <c r="AO99" s="452"/>
      <c r="AP99" s="452"/>
      <c r="AQ99" s="452"/>
      <c r="AR99" s="452"/>
      <c r="AS99" s="452"/>
      <c r="AT99" s="541"/>
      <c r="AU99" s="541"/>
      <c r="AV99" s="541"/>
      <c r="AW99" s="541"/>
      <c r="AX99" s="541"/>
      <c r="AY99" s="506"/>
      <c r="AZ99" s="506"/>
      <c r="BA99" s="506"/>
      <c r="BB99" s="506"/>
      <c r="BC99" s="506"/>
      <c r="BD99" s="506"/>
      <c r="BE99" s="506"/>
      <c r="BF99" s="506"/>
      <c r="BG99" s="506"/>
      <c r="BH99" s="506"/>
      <c r="BI99" s="506"/>
      <c r="BJ99" s="506"/>
      <c r="BK99" s="506"/>
      <c r="BL99" s="506"/>
      <c r="BM99" s="506"/>
      <c r="BN99" s="506"/>
      <c r="BO99" s="506"/>
      <c r="BP99" s="506"/>
      <c r="BQ99" s="506"/>
      <c r="BR99" s="506"/>
      <c r="BS99" s="506"/>
      <c r="BT99" s="506"/>
      <c r="BU99" s="506"/>
      <c r="BV99" s="506"/>
      <c r="BW99" s="506"/>
      <c r="BX99" s="506"/>
      <c r="BY99" s="506"/>
      <c r="BZ99" s="506"/>
      <c r="CA99" s="506"/>
      <c r="CB99" s="506"/>
      <c r="CC99" s="506"/>
      <c r="CD99" s="506"/>
      <c r="CE99" s="506"/>
      <c r="CF99" s="506"/>
      <c r="CG99" s="506"/>
      <c r="CH99" s="506"/>
      <c r="CI99" s="506"/>
      <c r="CJ99" s="506"/>
      <c r="CK99" s="506"/>
      <c r="CL99" s="506"/>
      <c r="CM99" s="506"/>
      <c r="CN99" s="506"/>
      <c r="CO99" s="506"/>
      <c r="CP99" s="506"/>
      <c r="CQ99" s="506"/>
      <c r="CR99" s="506"/>
      <c r="CS99" s="506"/>
      <c r="CT99" s="506"/>
      <c r="CU99" s="506"/>
      <c r="CV99" s="506"/>
      <c r="CW99" s="506"/>
      <c r="CX99" s="506"/>
      <c r="CY99" s="506"/>
      <c r="CZ99" s="506"/>
      <c r="DA99" s="506"/>
      <c r="DB99" s="506"/>
      <c r="DC99" s="506"/>
      <c r="DD99" s="506"/>
      <c r="DE99" s="506"/>
      <c r="DF99" s="506"/>
      <c r="DG99" s="506"/>
      <c r="DH99" s="506"/>
      <c r="DI99" s="506"/>
      <c r="DJ99" s="506"/>
      <c r="DK99" s="506"/>
      <c r="DL99" s="506"/>
      <c r="DM99" s="506"/>
      <c r="DN99" s="506"/>
      <c r="DO99" s="506"/>
      <c r="DP99" s="506"/>
      <c r="DQ99" s="506"/>
      <c r="DR99" s="506"/>
      <c r="DS99" s="506"/>
      <c r="DT99" s="506"/>
      <c r="DU99" s="506"/>
      <c r="DV99" s="506"/>
      <c r="DW99" s="506"/>
      <c r="DX99" s="506"/>
      <c r="DY99" s="506"/>
      <c r="DZ99" s="506"/>
      <c r="EA99" s="506"/>
      <c r="EB99" s="506"/>
      <c r="EC99" s="506"/>
      <c r="ED99" s="506"/>
      <c r="EE99" s="506"/>
      <c r="EF99" s="506"/>
      <c r="EG99" s="506"/>
      <c r="EH99" s="506"/>
      <c r="EI99" s="506"/>
      <c r="EJ99" s="506"/>
      <c r="EK99" s="506"/>
      <c r="EL99" s="506"/>
      <c r="EM99" s="506"/>
      <c r="EN99" s="506"/>
      <c r="EO99" s="506"/>
      <c r="EP99" s="506"/>
      <c r="EQ99" s="506"/>
      <c r="ER99" s="506"/>
      <c r="ES99" s="506"/>
      <c r="ET99" s="506"/>
      <c r="EU99" s="506"/>
      <c r="EV99" s="506"/>
      <c r="EW99" s="506"/>
      <c r="EX99" s="506"/>
      <c r="EY99" s="506"/>
      <c r="EZ99" s="506"/>
      <c r="FA99" s="506"/>
      <c r="FB99" s="506"/>
      <c r="FC99" s="506"/>
      <c r="FD99" s="506"/>
      <c r="FE99" s="506"/>
      <c r="FF99" s="506"/>
      <c r="FG99" s="506"/>
      <c r="FH99" s="506"/>
      <c r="FI99" s="506"/>
      <c r="FJ99" s="506"/>
      <c r="FK99" s="506"/>
      <c r="FL99" s="506"/>
      <c r="FM99" s="506"/>
      <c r="FN99" s="506"/>
      <c r="FO99" s="506"/>
      <c r="FP99" s="506"/>
      <c r="FQ99" s="506"/>
      <c r="FR99" s="506"/>
      <c r="FS99" s="506"/>
      <c r="FT99" s="506"/>
      <c r="FU99" s="506"/>
      <c r="FV99" s="506"/>
      <c r="FW99" s="506"/>
      <c r="FX99" s="506"/>
      <c r="FY99" s="506"/>
      <c r="FZ99" s="506"/>
      <c r="GA99" s="506"/>
      <c r="GB99" s="506"/>
      <c r="GC99" s="506"/>
      <c r="GD99" s="506"/>
      <c r="GE99" s="506"/>
      <c r="GF99" s="506"/>
      <c r="GG99" s="506"/>
      <c r="GH99" s="506"/>
      <c r="GI99" s="506"/>
      <c r="GJ99" s="506"/>
      <c r="GK99" s="506"/>
      <c r="GL99" s="506"/>
      <c r="GM99" s="506"/>
      <c r="GN99" s="506"/>
      <c r="GO99" s="506"/>
      <c r="GP99" s="506"/>
      <c r="GQ99" s="506"/>
      <c r="GR99" s="506"/>
      <c r="GS99" s="506"/>
      <c r="GT99" s="506"/>
      <c r="GU99" s="506"/>
      <c r="GV99" s="506"/>
      <c r="GW99" s="506"/>
      <c r="GX99" s="506"/>
      <c r="GY99" s="506"/>
      <c r="GZ99" s="506"/>
      <c r="HA99" s="506"/>
      <c r="HB99" s="506"/>
      <c r="HC99" s="506"/>
      <c r="HD99" s="506"/>
      <c r="HE99" s="506"/>
      <c r="HF99" s="506"/>
      <c r="HG99" s="506"/>
      <c r="HH99" s="506"/>
      <c r="HI99" s="506"/>
      <c r="HJ99" s="506"/>
      <c r="HK99" s="506"/>
      <c r="HL99" s="506"/>
      <c r="HM99" s="506"/>
      <c r="HN99" s="506"/>
      <c r="HO99" s="506"/>
      <c r="HP99" s="506"/>
      <c r="HQ99" s="506"/>
      <c r="HR99" s="506"/>
      <c r="HS99" s="506"/>
      <c r="HT99" s="506"/>
      <c r="HU99" s="506"/>
      <c r="HV99" s="506"/>
      <c r="HW99" s="506"/>
      <c r="HX99" s="506"/>
      <c r="HY99" s="506"/>
      <c r="HZ99" s="506"/>
      <c r="IA99" s="506"/>
      <c r="IB99" s="506"/>
      <c r="IC99" s="506"/>
      <c r="ID99" s="506"/>
      <c r="IE99" s="506"/>
      <c r="IF99" s="506"/>
      <c r="IG99" s="506"/>
      <c r="IH99" s="506"/>
      <c r="II99" s="506"/>
      <c r="IJ99" s="506"/>
      <c r="IK99" s="506"/>
      <c r="IL99" s="506"/>
      <c r="IM99" s="506"/>
      <c r="IN99" s="506"/>
      <c r="IO99" s="506"/>
      <c r="IP99" s="506"/>
      <c r="IQ99" s="506"/>
      <c r="IR99" s="506"/>
      <c r="IS99" s="506"/>
      <c r="IT99" s="506"/>
      <c r="IU99" s="506"/>
      <c r="IV99" s="506"/>
    </row>
    <row r="100" spans="1:256" s="508" customFormat="1" ht="13.5" customHeight="1">
      <c r="A100" s="849"/>
      <c r="B100" s="850"/>
      <c r="C100" s="851"/>
      <c r="D100" s="36" t="s">
        <v>746</v>
      </c>
      <c r="E100" s="36"/>
      <c r="F100" s="548">
        <f>(49)*0.15</f>
        <v>7.35</v>
      </c>
      <c r="G100" s="848"/>
      <c r="H100" s="848"/>
      <c r="I100" s="697"/>
      <c r="J100" s="628"/>
      <c r="K100" s="580"/>
      <c r="L100" s="581"/>
      <c r="M100" s="582"/>
      <c r="N100" s="582"/>
      <c r="O100" s="583"/>
      <c r="P100" s="582"/>
      <c r="Q100" s="584"/>
      <c r="R100" s="585"/>
      <c r="S100" s="586"/>
      <c r="T100" s="452"/>
      <c r="U100" s="452"/>
      <c r="V100" s="452"/>
      <c r="W100" s="587"/>
      <c r="X100" s="452"/>
      <c r="Y100" s="452"/>
      <c r="Z100" s="452"/>
      <c r="AA100" s="452"/>
      <c r="AB100" s="452"/>
      <c r="AC100" s="452"/>
      <c r="AD100" s="452"/>
      <c r="AE100" s="452"/>
      <c r="AF100" s="452"/>
      <c r="AG100" s="452"/>
      <c r="AH100" s="452"/>
      <c r="AI100" s="452"/>
      <c r="AJ100" s="452"/>
      <c r="AK100" s="452"/>
      <c r="AL100" s="452"/>
      <c r="AM100" s="452"/>
      <c r="AN100" s="452"/>
      <c r="AO100" s="452"/>
      <c r="AP100" s="452"/>
      <c r="AQ100" s="452"/>
      <c r="AR100" s="452"/>
      <c r="AS100" s="452"/>
      <c r="AT100" s="541"/>
      <c r="AU100" s="541"/>
      <c r="AV100" s="541"/>
      <c r="AW100" s="541"/>
      <c r="AX100" s="541"/>
      <c r="AY100" s="506"/>
      <c r="AZ100" s="506"/>
      <c r="BA100" s="506"/>
      <c r="BB100" s="506"/>
      <c r="BC100" s="506"/>
      <c r="BD100" s="506"/>
      <c r="BE100" s="506"/>
      <c r="BF100" s="506"/>
      <c r="BG100" s="506"/>
      <c r="BH100" s="506"/>
      <c r="BI100" s="506"/>
      <c r="BJ100" s="506"/>
      <c r="BK100" s="506"/>
      <c r="BL100" s="506"/>
      <c r="BM100" s="506"/>
      <c r="BN100" s="506"/>
      <c r="BO100" s="506"/>
      <c r="BP100" s="506"/>
      <c r="BQ100" s="506"/>
      <c r="BR100" s="506"/>
      <c r="BS100" s="506"/>
      <c r="BT100" s="506"/>
      <c r="BU100" s="506"/>
      <c r="BV100" s="506"/>
      <c r="BW100" s="506"/>
      <c r="BX100" s="506"/>
      <c r="BY100" s="506"/>
      <c r="BZ100" s="506"/>
      <c r="CA100" s="506"/>
      <c r="CB100" s="506"/>
      <c r="CC100" s="506"/>
      <c r="CD100" s="506"/>
      <c r="CE100" s="506"/>
      <c r="CF100" s="506"/>
      <c r="CG100" s="506"/>
      <c r="CH100" s="506"/>
      <c r="CI100" s="506"/>
      <c r="CJ100" s="506"/>
      <c r="CK100" s="506"/>
      <c r="CL100" s="506"/>
      <c r="CM100" s="506"/>
      <c r="CN100" s="506"/>
      <c r="CO100" s="506"/>
      <c r="CP100" s="506"/>
      <c r="CQ100" s="506"/>
      <c r="CR100" s="506"/>
      <c r="CS100" s="506"/>
      <c r="CT100" s="506"/>
      <c r="CU100" s="506"/>
      <c r="CV100" s="506"/>
      <c r="CW100" s="506"/>
      <c r="CX100" s="506"/>
      <c r="CY100" s="506"/>
      <c r="CZ100" s="506"/>
      <c r="DA100" s="506"/>
      <c r="DB100" s="506"/>
      <c r="DC100" s="506"/>
      <c r="DD100" s="506"/>
      <c r="DE100" s="506"/>
      <c r="DF100" s="506"/>
      <c r="DG100" s="506"/>
      <c r="DH100" s="506"/>
      <c r="DI100" s="506"/>
      <c r="DJ100" s="506"/>
      <c r="DK100" s="506"/>
      <c r="DL100" s="506"/>
      <c r="DM100" s="506"/>
      <c r="DN100" s="506"/>
      <c r="DO100" s="506"/>
      <c r="DP100" s="506"/>
      <c r="DQ100" s="506"/>
      <c r="DR100" s="506"/>
      <c r="DS100" s="506"/>
      <c r="DT100" s="506"/>
      <c r="DU100" s="506"/>
      <c r="DV100" s="506"/>
      <c r="DW100" s="506"/>
      <c r="DX100" s="506"/>
      <c r="DY100" s="506"/>
      <c r="DZ100" s="506"/>
      <c r="EA100" s="506"/>
      <c r="EB100" s="506"/>
      <c r="EC100" s="506"/>
      <c r="ED100" s="506"/>
      <c r="EE100" s="506"/>
      <c r="EF100" s="506"/>
      <c r="EG100" s="506"/>
      <c r="EH100" s="506"/>
      <c r="EI100" s="506"/>
      <c r="EJ100" s="506"/>
      <c r="EK100" s="506"/>
      <c r="EL100" s="506"/>
      <c r="EM100" s="506"/>
      <c r="EN100" s="506"/>
      <c r="EO100" s="506"/>
      <c r="EP100" s="506"/>
      <c r="EQ100" s="506"/>
      <c r="ER100" s="506"/>
      <c r="ES100" s="506"/>
      <c r="ET100" s="506"/>
      <c r="EU100" s="506"/>
      <c r="EV100" s="506"/>
      <c r="EW100" s="506"/>
      <c r="EX100" s="506"/>
      <c r="EY100" s="506"/>
      <c r="EZ100" s="506"/>
      <c r="FA100" s="506"/>
      <c r="FB100" s="506"/>
      <c r="FC100" s="506"/>
      <c r="FD100" s="506"/>
      <c r="FE100" s="506"/>
      <c r="FF100" s="506"/>
      <c r="FG100" s="506"/>
      <c r="FH100" s="506"/>
      <c r="FI100" s="506"/>
      <c r="FJ100" s="506"/>
      <c r="FK100" s="506"/>
      <c r="FL100" s="506"/>
      <c r="FM100" s="506"/>
      <c r="FN100" s="506"/>
      <c r="FO100" s="506"/>
      <c r="FP100" s="506"/>
      <c r="FQ100" s="506"/>
      <c r="FR100" s="506"/>
      <c r="FS100" s="506"/>
      <c r="FT100" s="506"/>
      <c r="FU100" s="506"/>
      <c r="FV100" s="506"/>
      <c r="FW100" s="506"/>
      <c r="FX100" s="506"/>
      <c r="FY100" s="506"/>
      <c r="FZ100" s="506"/>
      <c r="GA100" s="506"/>
      <c r="GB100" s="506"/>
      <c r="GC100" s="506"/>
      <c r="GD100" s="506"/>
      <c r="GE100" s="506"/>
      <c r="GF100" s="506"/>
      <c r="GG100" s="506"/>
      <c r="GH100" s="506"/>
      <c r="GI100" s="506"/>
      <c r="GJ100" s="506"/>
      <c r="GK100" s="506"/>
      <c r="GL100" s="506"/>
      <c r="GM100" s="506"/>
      <c r="GN100" s="506"/>
      <c r="GO100" s="506"/>
      <c r="GP100" s="506"/>
      <c r="GQ100" s="506"/>
      <c r="GR100" s="506"/>
      <c r="GS100" s="506"/>
      <c r="GT100" s="506"/>
      <c r="GU100" s="506"/>
      <c r="GV100" s="506"/>
      <c r="GW100" s="506"/>
      <c r="GX100" s="506"/>
      <c r="GY100" s="506"/>
      <c r="GZ100" s="506"/>
      <c r="HA100" s="506"/>
      <c r="HB100" s="506"/>
      <c r="HC100" s="506"/>
      <c r="HD100" s="506"/>
      <c r="HE100" s="506"/>
      <c r="HF100" s="506"/>
      <c r="HG100" s="506"/>
      <c r="HH100" s="506"/>
      <c r="HI100" s="506"/>
      <c r="HJ100" s="506"/>
      <c r="HK100" s="506"/>
      <c r="HL100" s="506"/>
      <c r="HM100" s="506"/>
      <c r="HN100" s="506"/>
      <c r="HO100" s="506"/>
      <c r="HP100" s="506"/>
      <c r="HQ100" s="506"/>
      <c r="HR100" s="506"/>
      <c r="HS100" s="506"/>
      <c r="HT100" s="506"/>
      <c r="HU100" s="506"/>
      <c r="HV100" s="506"/>
      <c r="HW100" s="506"/>
      <c r="HX100" s="506"/>
      <c r="HY100" s="506"/>
      <c r="HZ100" s="506"/>
      <c r="IA100" s="506"/>
      <c r="IB100" s="506"/>
      <c r="IC100" s="506"/>
      <c r="ID100" s="506"/>
      <c r="IE100" s="506"/>
      <c r="IF100" s="506"/>
      <c r="IG100" s="506"/>
      <c r="IH100" s="506"/>
      <c r="II100" s="506"/>
      <c r="IJ100" s="506"/>
      <c r="IK100" s="506"/>
      <c r="IL100" s="506"/>
      <c r="IM100" s="506"/>
      <c r="IN100" s="506"/>
      <c r="IO100" s="506"/>
      <c r="IP100" s="506"/>
      <c r="IQ100" s="506"/>
      <c r="IR100" s="506"/>
      <c r="IS100" s="506"/>
      <c r="IT100" s="506"/>
      <c r="IU100" s="506"/>
      <c r="IV100" s="506"/>
    </row>
    <row r="101" spans="1:256" s="508" customFormat="1" ht="13.5" customHeight="1">
      <c r="A101" s="852" t="s">
        <v>759</v>
      </c>
      <c r="B101" s="34"/>
      <c r="C101" s="445">
        <v>167151101</v>
      </c>
      <c r="D101" s="36" t="s">
        <v>162</v>
      </c>
      <c r="E101" s="445" t="s">
        <v>122</v>
      </c>
      <c r="F101" s="548">
        <f>F99</f>
        <v>7.35</v>
      </c>
      <c r="G101" s="132"/>
      <c r="H101" s="853">
        <f>F101*G101</f>
        <v>0</v>
      </c>
      <c r="I101" s="449" t="s">
        <v>738</v>
      </c>
      <c r="J101" s="854"/>
      <c r="K101" s="509"/>
      <c r="L101" s="505"/>
      <c r="M101" s="505"/>
      <c r="N101" s="505"/>
      <c r="O101" s="505"/>
      <c r="P101" s="855"/>
      <c r="Q101" s="505"/>
      <c r="R101" s="505"/>
      <c r="S101" s="855"/>
      <c r="T101" s="505"/>
      <c r="U101" s="505"/>
      <c r="V101" s="505"/>
      <c r="W101" s="505"/>
      <c r="X101" s="505"/>
      <c r="Y101" s="505"/>
      <c r="Z101" s="452"/>
      <c r="AA101" s="452"/>
      <c r="AB101" s="452"/>
      <c r="AC101" s="452"/>
      <c r="AD101" s="452"/>
      <c r="AE101" s="452"/>
      <c r="AF101" s="452"/>
      <c r="AG101" s="452"/>
      <c r="AH101" s="452"/>
      <c r="AI101" s="452"/>
      <c r="AJ101" s="452"/>
      <c r="AK101" s="452"/>
      <c r="AL101" s="452"/>
      <c r="AM101" s="452"/>
      <c r="AN101" s="452"/>
      <c r="AO101" s="452"/>
      <c r="AP101" s="452"/>
      <c r="AQ101" s="452"/>
      <c r="AR101" s="452"/>
      <c r="AS101" s="452"/>
      <c r="AT101" s="541"/>
      <c r="AU101" s="541"/>
      <c r="AV101" s="541"/>
      <c r="AW101" s="541"/>
      <c r="AX101" s="541"/>
      <c r="AY101" s="506"/>
      <c r="AZ101" s="506"/>
      <c r="BA101" s="506"/>
      <c r="BB101" s="506"/>
      <c r="BC101" s="506"/>
      <c r="BD101" s="506"/>
      <c r="BE101" s="506"/>
      <c r="BF101" s="506"/>
      <c r="BG101" s="506"/>
      <c r="BH101" s="506"/>
      <c r="BI101" s="506"/>
      <c r="BJ101" s="506"/>
      <c r="BK101" s="506"/>
      <c r="BL101" s="506"/>
      <c r="BM101" s="506"/>
      <c r="BN101" s="506"/>
      <c r="BO101" s="506"/>
      <c r="BP101" s="506"/>
      <c r="BQ101" s="506"/>
      <c r="BR101" s="506"/>
      <c r="BS101" s="506"/>
      <c r="BT101" s="506"/>
      <c r="BU101" s="506"/>
      <c r="BV101" s="506"/>
      <c r="BW101" s="506"/>
      <c r="BX101" s="506"/>
      <c r="BY101" s="506"/>
      <c r="BZ101" s="506"/>
      <c r="CA101" s="506"/>
      <c r="CB101" s="506"/>
      <c r="CC101" s="506"/>
      <c r="CD101" s="506"/>
      <c r="CE101" s="506"/>
      <c r="CF101" s="506"/>
      <c r="CG101" s="506"/>
      <c r="CH101" s="506"/>
      <c r="CI101" s="506"/>
      <c r="CJ101" s="506"/>
      <c r="CK101" s="506"/>
      <c r="CL101" s="506"/>
      <c r="CM101" s="506"/>
      <c r="CN101" s="506"/>
      <c r="CO101" s="506"/>
      <c r="CP101" s="506"/>
      <c r="CQ101" s="506"/>
      <c r="CR101" s="506"/>
      <c r="CS101" s="506"/>
      <c r="CT101" s="506"/>
      <c r="CU101" s="506"/>
      <c r="CV101" s="506"/>
      <c r="CW101" s="506"/>
      <c r="CX101" s="506"/>
      <c r="CY101" s="506"/>
      <c r="CZ101" s="506"/>
      <c r="DA101" s="506"/>
      <c r="DB101" s="506"/>
      <c r="DC101" s="506"/>
      <c r="DD101" s="506"/>
      <c r="DE101" s="506"/>
      <c r="DF101" s="506"/>
      <c r="DG101" s="506"/>
      <c r="DH101" s="506"/>
      <c r="DI101" s="506"/>
      <c r="DJ101" s="506"/>
      <c r="DK101" s="506"/>
      <c r="DL101" s="506"/>
      <c r="DM101" s="506"/>
      <c r="DN101" s="506"/>
      <c r="DO101" s="506"/>
      <c r="DP101" s="506"/>
      <c r="DQ101" s="506"/>
      <c r="DR101" s="506"/>
      <c r="DS101" s="506"/>
      <c r="DT101" s="506"/>
      <c r="DU101" s="506"/>
      <c r="DV101" s="506"/>
      <c r="DW101" s="506"/>
      <c r="DX101" s="506"/>
      <c r="DY101" s="506"/>
      <c r="DZ101" s="506"/>
      <c r="EA101" s="506"/>
      <c r="EB101" s="506"/>
      <c r="EC101" s="506"/>
      <c r="ED101" s="506"/>
      <c r="EE101" s="506"/>
      <c r="EF101" s="506"/>
      <c r="EG101" s="506"/>
      <c r="EH101" s="506"/>
      <c r="EI101" s="506"/>
      <c r="EJ101" s="506"/>
      <c r="EK101" s="506"/>
      <c r="EL101" s="506"/>
      <c r="EM101" s="506"/>
      <c r="EN101" s="506"/>
      <c r="EO101" s="506"/>
      <c r="EP101" s="506"/>
      <c r="EQ101" s="506"/>
      <c r="ER101" s="506"/>
      <c r="ES101" s="506"/>
      <c r="ET101" s="506"/>
      <c r="EU101" s="506"/>
      <c r="EV101" s="506"/>
      <c r="EW101" s="506"/>
      <c r="EX101" s="506"/>
      <c r="EY101" s="506"/>
      <c r="EZ101" s="506"/>
      <c r="FA101" s="506"/>
      <c r="FB101" s="506"/>
      <c r="FC101" s="506"/>
      <c r="FD101" s="506"/>
      <c r="FE101" s="506"/>
      <c r="FF101" s="506"/>
      <c r="FG101" s="506"/>
      <c r="FH101" s="506"/>
      <c r="FI101" s="506"/>
      <c r="FJ101" s="506"/>
      <c r="FK101" s="506"/>
      <c r="FL101" s="506"/>
      <c r="FM101" s="506"/>
      <c r="FN101" s="506"/>
      <c r="FO101" s="506"/>
      <c r="FP101" s="506"/>
      <c r="FQ101" s="506"/>
      <c r="FR101" s="506"/>
      <c r="FS101" s="506"/>
      <c r="FT101" s="506"/>
      <c r="FU101" s="506"/>
      <c r="FV101" s="506"/>
      <c r="FW101" s="506"/>
      <c r="FX101" s="506"/>
      <c r="FY101" s="506"/>
      <c r="FZ101" s="506"/>
      <c r="GA101" s="506"/>
      <c r="GB101" s="506"/>
      <c r="GC101" s="506"/>
      <c r="GD101" s="506"/>
      <c r="GE101" s="506"/>
      <c r="GF101" s="506"/>
      <c r="GG101" s="506"/>
      <c r="GH101" s="506"/>
      <c r="GI101" s="506"/>
      <c r="GJ101" s="506"/>
      <c r="GK101" s="506"/>
      <c r="GL101" s="506"/>
      <c r="GM101" s="506"/>
      <c r="GN101" s="506"/>
      <c r="GO101" s="506"/>
      <c r="GP101" s="506"/>
      <c r="GQ101" s="506"/>
      <c r="GR101" s="506"/>
      <c r="GS101" s="506"/>
      <c r="GT101" s="506"/>
      <c r="GU101" s="506"/>
      <c r="GV101" s="506"/>
      <c r="GW101" s="506"/>
      <c r="GX101" s="506"/>
      <c r="GY101" s="506"/>
      <c r="GZ101" s="506"/>
      <c r="HA101" s="506"/>
      <c r="HB101" s="506"/>
      <c r="HC101" s="506"/>
      <c r="HD101" s="506"/>
      <c r="HE101" s="506"/>
      <c r="HF101" s="506"/>
      <c r="HG101" s="506"/>
      <c r="HH101" s="506"/>
      <c r="HI101" s="506"/>
      <c r="HJ101" s="506"/>
      <c r="HK101" s="506"/>
      <c r="HL101" s="506"/>
      <c r="HM101" s="506"/>
      <c r="HN101" s="506"/>
      <c r="HO101" s="506"/>
      <c r="HP101" s="506"/>
      <c r="HQ101" s="506"/>
      <c r="HR101" s="506"/>
      <c r="HS101" s="506"/>
      <c r="HT101" s="506"/>
      <c r="HU101" s="506"/>
      <c r="HV101" s="506"/>
      <c r="HW101" s="506"/>
      <c r="HX101" s="506"/>
      <c r="HY101" s="506"/>
      <c r="HZ101" s="506"/>
      <c r="IA101" s="506"/>
      <c r="IB101" s="506"/>
      <c r="IC101" s="506"/>
      <c r="ID101" s="506"/>
      <c r="IE101" s="506"/>
      <c r="IF101" s="506"/>
      <c r="IG101" s="506"/>
      <c r="IH101" s="506"/>
      <c r="II101" s="506"/>
      <c r="IJ101" s="506"/>
      <c r="IK101" s="506"/>
      <c r="IL101" s="506"/>
      <c r="IM101" s="506"/>
      <c r="IN101" s="506"/>
      <c r="IO101" s="506"/>
      <c r="IP101" s="506"/>
      <c r="IQ101" s="506"/>
      <c r="IR101" s="506"/>
      <c r="IS101" s="506"/>
      <c r="IT101" s="506"/>
      <c r="IU101" s="506"/>
      <c r="IV101" s="506"/>
    </row>
    <row r="102" spans="1:256" s="508" customFormat="1" ht="27" customHeight="1">
      <c r="A102" s="852" t="s">
        <v>760</v>
      </c>
      <c r="B102" s="34"/>
      <c r="C102" s="445">
        <v>162751113</v>
      </c>
      <c r="D102" s="36" t="s">
        <v>163</v>
      </c>
      <c r="E102" s="445" t="s">
        <v>122</v>
      </c>
      <c r="F102" s="548">
        <f>F101</f>
        <v>7.35</v>
      </c>
      <c r="G102" s="132"/>
      <c r="H102" s="853">
        <f>F102*G102</f>
        <v>0</v>
      </c>
      <c r="I102" s="449" t="s">
        <v>738</v>
      </c>
      <c r="J102" s="856"/>
      <c r="K102" s="857"/>
      <c r="L102" s="661"/>
      <c r="M102" s="661"/>
      <c r="N102" s="661"/>
      <c r="O102" s="661"/>
      <c r="P102" s="661"/>
      <c r="Q102" s="661"/>
      <c r="R102" s="661"/>
      <c r="S102" s="858"/>
      <c r="T102" s="857"/>
      <c r="U102" s="505"/>
      <c r="V102" s="505"/>
      <c r="W102" s="505"/>
      <c r="X102" s="505"/>
      <c r="Y102" s="505"/>
      <c r="Z102" s="452"/>
      <c r="AA102" s="452"/>
      <c r="AB102" s="452"/>
      <c r="AC102" s="452"/>
      <c r="AD102" s="452"/>
      <c r="AE102" s="452"/>
      <c r="AF102" s="452"/>
      <c r="AG102" s="452"/>
      <c r="AH102" s="452"/>
      <c r="AI102" s="452"/>
      <c r="AJ102" s="452"/>
      <c r="AK102" s="452"/>
      <c r="AL102" s="452"/>
      <c r="AM102" s="452"/>
      <c r="AN102" s="452"/>
      <c r="AO102" s="452"/>
      <c r="AP102" s="452"/>
      <c r="AQ102" s="452"/>
      <c r="AR102" s="452"/>
      <c r="AS102" s="452"/>
      <c r="AT102" s="541"/>
      <c r="AU102" s="541"/>
      <c r="AV102" s="541"/>
      <c r="AW102" s="541"/>
      <c r="AX102" s="541"/>
      <c r="AY102" s="506"/>
      <c r="AZ102" s="506"/>
      <c r="BA102" s="506"/>
      <c r="BB102" s="506"/>
      <c r="BC102" s="506"/>
      <c r="BD102" s="506"/>
      <c r="BE102" s="506"/>
      <c r="BF102" s="506"/>
      <c r="BG102" s="506"/>
      <c r="BH102" s="506"/>
      <c r="BI102" s="506"/>
      <c r="BJ102" s="506"/>
      <c r="BK102" s="506"/>
      <c r="BL102" s="506"/>
      <c r="BM102" s="506"/>
      <c r="BN102" s="506"/>
      <c r="BO102" s="506"/>
      <c r="BP102" s="506"/>
      <c r="BQ102" s="506"/>
      <c r="BR102" s="506"/>
      <c r="BS102" s="506"/>
      <c r="BT102" s="506"/>
      <c r="BU102" s="506"/>
      <c r="BV102" s="506"/>
      <c r="BW102" s="506"/>
      <c r="BX102" s="506"/>
      <c r="BY102" s="506"/>
      <c r="BZ102" s="506"/>
      <c r="CA102" s="506"/>
      <c r="CB102" s="506"/>
      <c r="CC102" s="506"/>
      <c r="CD102" s="506"/>
      <c r="CE102" s="506"/>
      <c r="CF102" s="506"/>
      <c r="CG102" s="506"/>
      <c r="CH102" s="506"/>
      <c r="CI102" s="506"/>
      <c r="CJ102" s="506"/>
      <c r="CK102" s="506"/>
      <c r="CL102" s="506"/>
      <c r="CM102" s="506"/>
      <c r="CN102" s="506"/>
      <c r="CO102" s="506"/>
      <c r="CP102" s="506"/>
      <c r="CQ102" s="506"/>
      <c r="CR102" s="506"/>
      <c r="CS102" s="506"/>
      <c r="CT102" s="506"/>
      <c r="CU102" s="506"/>
      <c r="CV102" s="506"/>
      <c r="CW102" s="506"/>
      <c r="CX102" s="506"/>
      <c r="CY102" s="506"/>
      <c r="CZ102" s="506"/>
      <c r="DA102" s="506"/>
      <c r="DB102" s="506"/>
      <c r="DC102" s="506"/>
      <c r="DD102" s="506"/>
      <c r="DE102" s="506"/>
      <c r="DF102" s="506"/>
      <c r="DG102" s="506"/>
      <c r="DH102" s="506"/>
      <c r="DI102" s="506"/>
      <c r="DJ102" s="506"/>
      <c r="DK102" s="506"/>
      <c r="DL102" s="506"/>
      <c r="DM102" s="506"/>
      <c r="DN102" s="506"/>
      <c r="DO102" s="506"/>
      <c r="DP102" s="506"/>
      <c r="DQ102" s="506"/>
      <c r="DR102" s="506"/>
      <c r="DS102" s="506"/>
      <c r="DT102" s="506"/>
      <c r="DU102" s="506"/>
      <c r="DV102" s="506"/>
      <c r="DW102" s="506"/>
      <c r="DX102" s="506"/>
      <c r="DY102" s="506"/>
      <c r="DZ102" s="506"/>
      <c r="EA102" s="506"/>
      <c r="EB102" s="506"/>
      <c r="EC102" s="506"/>
      <c r="ED102" s="506"/>
      <c r="EE102" s="506"/>
      <c r="EF102" s="506"/>
      <c r="EG102" s="506"/>
      <c r="EH102" s="506"/>
      <c r="EI102" s="506"/>
      <c r="EJ102" s="506"/>
      <c r="EK102" s="506"/>
      <c r="EL102" s="506"/>
      <c r="EM102" s="506"/>
      <c r="EN102" s="506"/>
      <c r="EO102" s="506"/>
      <c r="EP102" s="506"/>
      <c r="EQ102" s="506"/>
      <c r="ER102" s="506"/>
      <c r="ES102" s="506"/>
      <c r="ET102" s="506"/>
      <c r="EU102" s="506"/>
      <c r="EV102" s="506"/>
      <c r="EW102" s="506"/>
      <c r="EX102" s="506"/>
      <c r="EY102" s="506"/>
      <c r="EZ102" s="506"/>
      <c r="FA102" s="506"/>
      <c r="FB102" s="506"/>
      <c r="FC102" s="506"/>
      <c r="FD102" s="506"/>
      <c r="FE102" s="506"/>
      <c r="FF102" s="506"/>
      <c r="FG102" s="506"/>
      <c r="FH102" s="506"/>
      <c r="FI102" s="506"/>
      <c r="FJ102" s="506"/>
      <c r="FK102" s="506"/>
      <c r="FL102" s="506"/>
      <c r="FM102" s="506"/>
      <c r="FN102" s="506"/>
      <c r="FO102" s="506"/>
      <c r="FP102" s="506"/>
      <c r="FQ102" s="506"/>
      <c r="FR102" s="506"/>
      <c r="FS102" s="506"/>
      <c r="FT102" s="506"/>
      <c r="FU102" s="506"/>
      <c r="FV102" s="506"/>
      <c r="FW102" s="506"/>
      <c r="FX102" s="506"/>
      <c r="FY102" s="506"/>
      <c r="FZ102" s="506"/>
      <c r="GA102" s="506"/>
      <c r="GB102" s="506"/>
      <c r="GC102" s="506"/>
      <c r="GD102" s="506"/>
      <c r="GE102" s="506"/>
      <c r="GF102" s="506"/>
      <c r="GG102" s="506"/>
      <c r="GH102" s="506"/>
      <c r="GI102" s="506"/>
      <c r="GJ102" s="506"/>
      <c r="GK102" s="506"/>
      <c r="GL102" s="506"/>
      <c r="GM102" s="506"/>
      <c r="GN102" s="506"/>
      <c r="GO102" s="506"/>
      <c r="GP102" s="506"/>
      <c r="GQ102" s="506"/>
      <c r="GR102" s="506"/>
      <c r="GS102" s="506"/>
      <c r="GT102" s="506"/>
      <c r="GU102" s="506"/>
      <c r="GV102" s="506"/>
      <c r="GW102" s="506"/>
      <c r="GX102" s="506"/>
      <c r="GY102" s="506"/>
      <c r="GZ102" s="506"/>
      <c r="HA102" s="506"/>
      <c r="HB102" s="506"/>
      <c r="HC102" s="506"/>
      <c r="HD102" s="506"/>
      <c r="HE102" s="506"/>
      <c r="HF102" s="506"/>
      <c r="HG102" s="506"/>
      <c r="HH102" s="506"/>
      <c r="HI102" s="506"/>
      <c r="HJ102" s="506"/>
      <c r="HK102" s="506"/>
      <c r="HL102" s="506"/>
      <c r="HM102" s="506"/>
      <c r="HN102" s="506"/>
      <c r="HO102" s="506"/>
      <c r="HP102" s="506"/>
      <c r="HQ102" s="506"/>
      <c r="HR102" s="506"/>
      <c r="HS102" s="506"/>
      <c r="HT102" s="506"/>
      <c r="HU102" s="506"/>
      <c r="HV102" s="506"/>
      <c r="HW102" s="506"/>
      <c r="HX102" s="506"/>
      <c r="HY102" s="506"/>
      <c r="HZ102" s="506"/>
      <c r="IA102" s="506"/>
      <c r="IB102" s="506"/>
      <c r="IC102" s="506"/>
      <c r="ID102" s="506"/>
      <c r="IE102" s="506"/>
      <c r="IF102" s="506"/>
      <c r="IG102" s="506"/>
      <c r="IH102" s="506"/>
      <c r="II102" s="506"/>
      <c r="IJ102" s="506"/>
      <c r="IK102" s="506"/>
      <c r="IL102" s="506"/>
      <c r="IM102" s="506"/>
      <c r="IN102" s="506"/>
      <c r="IO102" s="506"/>
      <c r="IP102" s="506"/>
      <c r="IQ102" s="506"/>
      <c r="IR102" s="506"/>
      <c r="IS102" s="506"/>
      <c r="IT102" s="506"/>
      <c r="IU102" s="506"/>
      <c r="IV102" s="506"/>
    </row>
    <row r="103" spans="1:256" s="508" customFormat="1" ht="13.5" customHeight="1">
      <c r="A103" s="852" t="s">
        <v>761</v>
      </c>
      <c r="B103" s="34"/>
      <c r="C103" s="445">
        <v>171251201</v>
      </c>
      <c r="D103" s="36" t="s">
        <v>164</v>
      </c>
      <c r="E103" s="445" t="s">
        <v>122</v>
      </c>
      <c r="F103" s="548">
        <f>F102</f>
        <v>7.35</v>
      </c>
      <c r="G103" s="132"/>
      <c r="H103" s="853">
        <f>F103*G103</f>
        <v>0</v>
      </c>
      <c r="I103" s="449" t="s">
        <v>738</v>
      </c>
      <c r="J103" s="509"/>
      <c r="K103" s="509"/>
      <c r="L103" s="505"/>
      <c r="M103" s="505"/>
      <c r="N103" s="505"/>
      <c r="O103" s="505"/>
      <c r="P103" s="505"/>
      <c r="Q103" s="505"/>
      <c r="R103" s="505"/>
      <c r="S103" s="855"/>
      <c r="T103" s="505"/>
      <c r="U103" s="505"/>
      <c r="V103" s="505"/>
      <c r="W103" s="505"/>
      <c r="X103" s="505"/>
      <c r="Y103" s="505"/>
      <c r="Z103" s="452"/>
      <c r="AA103" s="452"/>
      <c r="AB103" s="452"/>
      <c r="AC103" s="452"/>
      <c r="AD103" s="452"/>
      <c r="AE103" s="452"/>
      <c r="AF103" s="452"/>
      <c r="AG103" s="452"/>
      <c r="AH103" s="452"/>
      <c r="AI103" s="452"/>
      <c r="AJ103" s="452"/>
      <c r="AK103" s="452"/>
      <c r="AL103" s="452"/>
      <c r="AM103" s="452"/>
      <c r="AN103" s="452"/>
      <c r="AO103" s="452"/>
      <c r="AP103" s="452"/>
      <c r="AQ103" s="452"/>
      <c r="AR103" s="452"/>
      <c r="AS103" s="452"/>
      <c r="AT103" s="541"/>
      <c r="AU103" s="541"/>
      <c r="AV103" s="541"/>
      <c r="AW103" s="541"/>
      <c r="AX103" s="541"/>
      <c r="AY103" s="506"/>
      <c r="AZ103" s="506"/>
      <c r="BA103" s="506"/>
      <c r="BB103" s="506"/>
      <c r="BC103" s="506"/>
      <c r="BD103" s="506"/>
      <c r="BE103" s="506"/>
      <c r="BF103" s="506"/>
      <c r="BG103" s="506"/>
      <c r="BH103" s="506"/>
      <c r="BI103" s="506"/>
      <c r="BJ103" s="506"/>
      <c r="BK103" s="506"/>
      <c r="BL103" s="506"/>
      <c r="BM103" s="506"/>
      <c r="BN103" s="506"/>
      <c r="BO103" s="506"/>
      <c r="BP103" s="506"/>
      <c r="BQ103" s="506"/>
      <c r="BR103" s="506"/>
      <c r="BS103" s="506"/>
      <c r="BT103" s="506"/>
      <c r="BU103" s="506"/>
      <c r="BV103" s="506"/>
      <c r="BW103" s="506"/>
      <c r="BX103" s="506"/>
      <c r="BY103" s="506"/>
      <c r="BZ103" s="506"/>
      <c r="CA103" s="506"/>
      <c r="CB103" s="506"/>
      <c r="CC103" s="506"/>
      <c r="CD103" s="506"/>
      <c r="CE103" s="506"/>
      <c r="CF103" s="506"/>
      <c r="CG103" s="506"/>
      <c r="CH103" s="506"/>
      <c r="CI103" s="506"/>
      <c r="CJ103" s="506"/>
      <c r="CK103" s="506"/>
      <c r="CL103" s="506"/>
      <c r="CM103" s="506"/>
      <c r="CN103" s="506"/>
      <c r="CO103" s="506"/>
      <c r="CP103" s="506"/>
      <c r="CQ103" s="506"/>
      <c r="CR103" s="506"/>
      <c r="CS103" s="506"/>
      <c r="CT103" s="506"/>
      <c r="CU103" s="506"/>
      <c r="CV103" s="506"/>
      <c r="CW103" s="506"/>
      <c r="CX103" s="506"/>
      <c r="CY103" s="506"/>
      <c r="CZ103" s="506"/>
      <c r="DA103" s="506"/>
      <c r="DB103" s="506"/>
      <c r="DC103" s="506"/>
      <c r="DD103" s="506"/>
      <c r="DE103" s="506"/>
      <c r="DF103" s="506"/>
      <c r="DG103" s="506"/>
      <c r="DH103" s="506"/>
      <c r="DI103" s="506"/>
      <c r="DJ103" s="506"/>
      <c r="DK103" s="506"/>
      <c r="DL103" s="506"/>
      <c r="DM103" s="506"/>
      <c r="DN103" s="506"/>
      <c r="DO103" s="506"/>
      <c r="DP103" s="506"/>
      <c r="DQ103" s="506"/>
      <c r="DR103" s="506"/>
      <c r="DS103" s="506"/>
      <c r="DT103" s="506"/>
      <c r="DU103" s="506"/>
      <c r="DV103" s="506"/>
      <c r="DW103" s="506"/>
      <c r="DX103" s="506"/>
      <c r="DY103" s="506"/>
      <c r="DZ103" s="506"/>
      <c r="EA103" s="506"/>
      <c r="EB103" s="506"/>
      <c r="EC103" s="506"/>
      <c r="ED103" s="506"/>
      <c r="EE103" s="506"/>
      <c r="EF103" s="506"/>
      <c r="EG103" s="506"/>
      <c r="EH103" s="506"/>
      <c r="EI103" s="506"/>
      <c r="EJ103" s="506"/>
      <c r="EK103" s="506"/>
      <c r="EL103" s="506"/>
      <c r="EM103" s="506"/>
      <c r="EN103" s="506"/>
      <c r="EO103" s="506"/>
      <c r="EP103" s="506"/>
      <c r="EQ103" s="506"/>
      <c r="ER103" s="506"/>
      <c r="ES103" s="506"/>
      <c r="ET103" s="506"/>
      <c r="EU103" s="506"/>
      <c r="EV103" s="506"/>
      <c r="EW103" s="506"/>
      <c r="EX103" s="506"/>
      <c r="EY103" s="506"/>
      <c r="EZ103" s="506"/>
      <c r="FA103" s="506"/>
      <c r="FB103" s="506"/>
      <c r="FC103" s="506"/>
      <c r="FD103" s="506"/>
      <c r="FE103" s="506"/>
      <c r="FF103" s="506"/>
      <c r="FG103" s="506"/>
      <c r="FH103" s="506"/>
      <c r="FI103" s="506"/>
      <c r="FJ103" s="506"/>
      <c r="FK103" s="506"/>
      <c r="FL103" s="506"/>
      <c r="FM103" s="506"/>
      <c r="FN103" s="506"/>
      <c r="FO103" s="506"/>
      <c r="FP103" s="506"/>
      <c r="FQ103" s="506"/>
      <c r="FR103" s="506"/>
      <c r="FS103" s="506"/>
      <c r="FT103" s="506"/>
      <c r="FU103" s="506"/>
      <c r="FV103" s="506"/>
      <c r="FW103" s="506"/>
      <c r="FX103" s="506"/>
      <c r="FY103" s="506"/>
      <c r="FZ103" s="506"/>
      <c r="GA103" s="506"/>
      <c r="GB103" s="506"/>
      <c r="GC103" s="506"/>
      <c r="GD103" s="506"/>
      <c r="GE103" s="506"/>
      <c r="GF103" s="506"/>
      <c r="GG103" s="506"/>
      <c r="GH103" s="506"/>
      <c r="GI103" s="506"/>
      <c r="GJ103" s="506"/>
      <c r="GK103" s="506"/>
      <c r="GL103" s="506"/>
      <c r="GM103" s="506"/>
      <c r="GN103" s="506"/>
      <c r="GO103" s="506"/>
      <c r="GP103" s="506"/>
      <c r="GQ103" s="506"/>
      <c r="GR103" s="506"/>
      <c r="GS103" s="506"/>
      <c r="GT103" s="506"/>
      <c r="GU103" s="506"/>
      <c r="GV103" s="506"/>
      <c r="GW103" s="506"/>
      <c r="GX103" s="506"/>
      <c r="GY103" s="506"/>
      <c r="GZ103" s="506"/>
      <c r="HA103" s="506"/>
      <c r="HB103" s="506"/>
      <c r="HC103" s="506"/>
      <c r="HD103" s="506"/>
      <c r="HE103" s="506"/>
      <c r="HF103" s="506"/>
      <c r="HG103" s="506"/>
      <c r="HH103" s="506"/>
      <c r="HI103" s="506"/>
      <c r="HJ103" s="506"/>
      <c r="HK103" s="506"/>
      <c r="HL103" s="506"/>
      <c r="HM103" s="506"/>
      <c r="HN103" s="506"/>
      <c r="HO103" s="506"/>
      <c r="HP103" s="506"/>
      <c r="HQ103" s="506"/>
      <c r="HR103" s="506"/>
      <c r="HS103" s="506"/>
      <c r="HT103" s="506"/>
      <c r="HU103" s="506"/>
      <c r="HV103" s="506"/>
      <c r="HW103" s="506"/>
      <c r="HX103" s="506"/>
      <c r="HY103" s="506"/>
      <c r="HZ103" s="506"/>
      <c r="IA103" s="506"/>
      <c r="IB103" s="506"/>
      <c r="IC103" s="506"/>
      <c r="ID103" s="506"/>
      <c r="IE103" s="506"/>
      <c r="IF103" s="506"/>
      <c r="IG103" s="506"/>
      <c r="IH103" s="506"/>
      <c r="II103" s="506"/>
      <c r="IJ103" s="506"/>
      <c r="IK103" s="506"/>
      <c r="IL103" s="506"/>
      <c r="IM103" s="506"/>
      <c r="IN103" s="506"/>
      <c r="IO103" s="506"/>
      <c r="IP103" s="506"/>
      <c r="IQ103" s="506"/>
      <c r="IR103" s="506"/>
      <c r="IS103" s="506"/>
      <c r="IT103" s="506"/>
      <c r="IU103" s="506"/>
      <c r="IV103" s="506"/>
    </row>
    <row r="104" spans="1:256" s="508" customFormat="1" ht="13.5" customHeight="1">
      <c r="A104" s="859" t="s">
        <v>762</v>
      </c>
      <c r="B104" s="680"/>
      <c r="C104" s="445">
        <v>171201221</v>
      </c>
      <c r="D104" s="358" t="s">
        <v>140</v>
      </c>
      <c r="E104" s="860" t="s">
        <v>125</v>
      </c>
      <c r="F104" s="682">
        <f>F103*2</f>
        <v>14.7</v>
      </c>
      <c r="G104" s="985"/>
      <c r="H104" s="861">
        <f>F104*G104</f>
        <v>0</v>
      </c>
      <c r="I104" s="449" t="s">
        <v>738</v>
      </c>
      <c r="J104" s="509"/>
      <c r="K104" s="509"/>
      <c r="L104" s="505"/>
      <c r="M104" s="505"/>
      <c r="N104" s="505"/>
      <c r="O104" s="505"/>
      <c r="P104" s="505"/>
      <c r="Q104" s="505"/>
      <c r="R104" s="505"/>
      <c r="S104" s="855"/>
      <c r="T104" s="612"/>
      <c r="U104" s="612"/>
      <c r="V104" s="612"/>
      <c r="W104" s="612"/>
      <c r="X104" s="612"/>
      <c r="Y104" s="612"/>
      <c r="Z104" s="452"/>
      <c r="AA104" s="452"/>
      <c r="AB104" s="452"/>
      <c r="AC104" s="452"/>
      <c r="AD104" s="452"/>
      <c r="AE104" s="452"/>
      <c r="AF104" s="452"/>
      <c r="AG104" s="452"/>
      <c r="AH104" s="452"/>
      <c r="AI104" s="452"/>
      <c r="AJ104" s="452"/>
      <c r="AK104" s="452"/>
      <c r="AL104" s="452"/>
      <c r="AM104" s="452"/>
      <c r="AN104" s="452"/>
      <c r="AO104" s="452"/>
      <c r="AP104" s="452"/>
      <c r="AQ104" s="452"/>
      <c r="AR104" s="452"/>
      <c r="AS104" s="452"/>
      <c r="AT104" s="541"/>
      <c r="AU104" s="541"/>
      <c r="AV104" s="541"/>
      <c r="AW104" s="541"/>
      <c r="AX104" s="541"/>
      <c r="AY104" s="862"/>
      <c r="AZ104" s="862"/>
      <c r="BA104" s="862"/>
      <c r="BB104" s="862"/>
      <c r="BC104" s="862"/>
      <c r="BD104" s="862"/>
      <c r="BE104" s="862"/>
      <c r="BF104" s="862"/>
      <c r="BG104" s="862"/>
      <c r="BH104" s="862"/>
      <c r="BI104" s="862"/>
      <c r="BJ104" s="862"/>
      <c r="BK104" s="862"/>
      <c r="BL104" s="862"/>
      <c r="BM104" s="862"/>
      <c r="BN104" s="862"/>
      <c r="BO104" s="862"/>
      <c r="BP104" s="862"/>
      <c r="BQ104" s="862"/>
      <c r="BR104" s="862"/>
      <c r="BS104" s="862"/>
      <c r="BT104" s="862"/>
      <c r="BU104" s="862"/>
      <c r="BV104" s="862"/>
      <c r="BW104" s="862"/>
      <c r="BX104" s="862"/>
      <c r="BY104" s="862"/>
      <c r="BZ104" s="862"/>
      <c r="CA104" s="862"/>
      <c r="CB104" s="862"/>
      <c r="CC104" s="862"/>
      <c r="CD104" s="862"/>
      <c r="CE104" s="862"/>
      <c r="CF104" s="862"/>
      <c r="CG104" s="862"/>
      <c r="CH104" s="862"/>
      <c r="CI104" s="862"/>
      <c r="CJ104" s="862"/>
      <c r="CK104" s="862"/>
      <c r="CL104" s="862"/>
      <c r="CM104" s="862"/>
      <c r="CN104" s="862"/>
      <c r="CO104" s="862"/>
      <c r="CP104" s="862"/>
      <c r="CQ104" s="862"/>
      <c r="CR104" s="862"/>
      <c r="CS104" s="862"/>
      <c r="CT104" s="862"/>
      <c r="CU104" s="862"/>
      <c r="CV104" s="862"/>
      <c r="CW104" s="862"/>
      <c r="CX104" s="862"/>
      <c r="CY104" s="862"/>
      <c r="CZ104" s="862"/>
      <c r="DA104" s="862"/>
      <c r="DB104" s="862"/>
      <c r="DC104" s="862"/>
      <c r="DD104" s="862"/>
      <c r="DE104" s="862"/>
      <c r="DF104" s="862"/>
      <c r="DG104" s="862"/>
      <c r="DH104" s="862"/>
      <c r="DI104" s="862"/>
      <c r="DJ104" s="862"/>
      <c r="DK104" s="862"/>
      <c r="DL104" s="862"/>
      <c r="DM104" s="862"/>
      <c r="DN104" s="862"/>
      <c r="DO104" s="862"/>
      <c r="DP104" s="862"/>
      <c r="DQ104" s="862"/>
      <c r="DR104" s="862"/>
      <c r="DS104" s="862"/>
      <c r="DT104" s="862"/>
      <c r="DU104" s="862"/>
      <c r="DV104" s="862"/>
      <c r="DW104" s="862"/>
      <c r="DX104" s="862"/>
      <c r="DY104" s="862"/>
      <c r="DZ104" s="862"/>
      <c r="EA104" s="862"/>
      <c r="EB104" s="862"/>
      <c r="EC104" s="862"/>
      <c r="ED104" s="862"/>
      <c r="EE104" s="862"/>
      <c r="EF104" s="862"/>
      <c r="EG104" s="862"/>
      <c r="EH104" s="862"/>
      <c r="EI104" s="862"/>
      <c r="EJ104" s="862"/>
      <c r="EK104" s="862"/>
      <c r="EL104" s="862"/>
      <c r="EM104" s="862"/>
      <c r="EN104" s="862"/>
      <c r="EO104" s="862"/>
      <c r="EP104" s="862"/>
      <c r="EQ104" s="862"/>
      <c r="ER104" s="862"/>
      <c r="ES104" s="862"/>
      <c r="ET104" s="862"/>
      <c r="EU104" s="862"/>
      <c r="EV104" s="862"/>
      <c r="EW104" s="862"/>
      <c r="EX104" s="862"/>
      <c r="EY104" s="862"/>
      <c r="EZ104" s="862"/>
      <c r="FA104" s="862"/>
      <c r="FB104" s="862"/>
      <c r="FC104" s="862"/>
      <c r="FD104" s="862"/>
      <c r="FE104" s="862"/>
      <c r="FF104" s="862"/>
      <c r="FG104" s="862"/>
      <c r="FH104" s="862"/>
      <c r="FI104" s="862"/>
      <c r="FJ104" s="862"/>
      <c r="FK104" s="862"/>
      <c r="FL104" s="862"/>
      <c r="FM104" s="862"/>
      <c r="FN104" s="862"/>
      <c r="FO104" s="862"/>
      <c r="FP104" s="862"/>
      <c r="FQ104" s="862"/>
      <c r="FR104" s="862"/>
      <c r="FS104" s="862"/>
      <c r="FT104" s="862"/>
      <c r="FU104" s="862"/>
      <c r="FV104" s="862"/>
      <c r="FW104" s="862"/>
      <c r="FX104" s="862"/>
      <c r="FY104" s="862"/>
      <c r="FZ104" s="862"/>
      <c r="GA104" s="862"/>
      <c r="GB104" s="862"/>
      <c r="GC104" s="862"/>
      <c r="GD104" s="862"/>
      <c r="GE104" s="862"/>
      <c r="GF104" s="862"/>
      <c r="GG104" s="862"/>
      <c r="GH104" s="862"/>
      <c r="GI104" s="862"/>
      <c r="GJ104" s="862"/>
      <c r="GK104" s="862"/>
      <c r="GL104" s="862"/>
      <c r="GM104" s="862"/>
      <c r="GN104" s="862"/>
      <c r="GO104" s="862"/>
      <c r="GP104" s="862"/>
      <c r="GQ104" s="862"/>
      <c r="GR104" s="862"/>
      <c r="GS104" s="862"/>
      <c r="GT104" s="862"/>
      <c r="GU104" s="862"/>
      <c r="GV104" s="862"/>
      <c r="GW104" s="862"/>
      <c r="GX104" s="862"/>
      <c r="GY104" s="862"/>
      <c r="GZ104" s="862"/>
      <c r="HA104" s="862"/>
      <c r="HB104" s="862"/>
      <c r="HC104" s="862"/>
      <c r="HD104" s="862"/>
      <c r="HE104" s="862"/>
      <c r="HF104" s="862"/>
      <c r="HG104" s="862"/>
      <c r="HH104" s="862"/>
      <c r="HI104" s="862"/>
      <c r="HJ104" s="862"/>
      <c r="HK104" s="862"/>
      <c r="HL104" s="862"/>
      <c r="HM104" s="862"/>
      <c r="HN104" s="862"/>
      <c r="HO104" s="862"/>
      <c r="HP104" s="862"/>
      <c r="HQ104" s="862"/>
      <c r="HR104" s="862"/>
      <c r="HS104" s="862"/>
      <c r="HT104" s="862"/>
      <c r="HU104" s="862"/>
      <c r="HV104" s="862"/>
      <c r="HW104" s="862"/>
      <c r="HX104" s="862"/>
      <c r="HY104" s="862"/>
      <c r="HZ104" s="862"/>
      <c r="IA104" s="862"/>
      <c r="IB104" s="862"/>
      <c r="IC104" s="862"/>
      <c r="ID104" s="862"/>
      <c r="IE104" s="862"/>
      <c r="IF104" s="862"/>
      <c r="IG104" s="862"/>
      <c r="IH104" s="862"/>
      <c r="II104" s="862"/>
      <c r="IJ104" s="862"/>
      <c r="IK104" s="862"/>
      <c r="IL104" s="862"/>
      <c r="IM104" s="862"/>
      <c r="IN104" s="862"/>
      <c r="IO104" s="862"/>
      <c r="IP104" s="862"/>
      <c r="IQ104" s="862"/>
      <c r="IR104" s="862"/>
      <c r="IS104" s="862"/>
      <c r="IT104" s="862"/>
      <c r="IU104" s="862"/>
      <c r="IV104" s="862"/>
    </row>
    <row r="105" spans="1:256" s="508" customFormat="1" ht="13.5" customHeight="1">
      <c r="A105" s="859"/>
      <c r="B105" s="680"/>
      <c r="C105" s="863"/>
      <c r="D105" s="358" t="s">
        <v>297</v>
      </c>
      <c r="E105" s="860"/>
      <c r="F105" s="682"/>
      <c r="G105" s="861"/>
      <c r="H105" s="861"/>
      <c r="I105" s="864"/>
      <c r="J105" s="509"/>
      <c r="K105" s="509"/>
      <c r="L105" s="505"/>
      <c r="M105" s="505"/>
      <c r="N105" s="505"/>
      <c r="O105" s="505"/>
      <c r="P105" s="505"/>
      <c r="Q105" s="505"/>
      <c r="R105" s="505"/>
      <c r="S105" s="855"/>
      <c r="T105" s="612"/>
      <c r="U105" s="612"/>
      <c r="V105" s="612"/>
      <c r="W105" s="612"/>
      <c r="X105" s="612"/>
      <c r="Y105" s="612"/>
      <c r="Z105" s="452"/>
      <c r="AA105" s="452"/>
      <c r="AB105" s="452"/>
      <c r="AC105" s="452"/>
      <c r="AD105" s="452"/>
      <c r="AE105" s="452"/>
      <c r="AF105" s="452"/>
      <c r="AG105" s="452"/>
      <c r="AH105" s="452"/>
      <c r="AI105" s="452"/>
      <c r="AJ105" s="452"/>
      <c r="AK105" s="452"/>
      <c r="AL105" s="452"/>
      <c r="AM105" s="452"/>
      <c r="AN105" s="452"/>
      <c r="AO105" s="452"/>
      <c r="AP105" s="452"/>
      <c r="AQ105" s="452"/>
      <c r="AR105" s="452"/>
      <c r="AS105" s="452"/>
      <c r="AT105" s="541"/>
      <c r="AU105" s="541"/>
      <c r="AV105" s="541"/>
      <c r="AW105" s="541"/>
      <c r="AX105" s="541"/>
      <c r="AY105" s="862"/>
      <c r="AZ105" s="862"/>
      <c r="BA105" s="862"/>
      <c r="BB105" s="862"/>
      <c r="BC105" s="862"/>
      <c r="BD105" s="862"/>
      <c r="BE105" s="862"/>
      <c r="BF105" s="862"/>
      <c r="BG105" s="862"/>
      <c r="BH105" s="862"/>
      <c r="BI105" s="862"/>
      <c r="BJ105" s="862"/>
      <c r="BK105" s="862"/>
      <c r="BL105" s="862"/>
      <c r="BM105" s="862"/>
      <c r="BN105" s="862"/>
      <c r="BO105" s="862"/>
      <c r="BP105" s="862"/>
      <c r="BQ105" s="862"/>
      <c r="BR105" s="862"/>
      <c r="BS105" s="862"/>
      <c r="BT105" s="862"/>
      <c r="BU105" s="862"/>
      <c r="BV105" s="862"/>
      <c r="BW105" s="862"/>
      <c r="BX105" s="862"/>
      <c r="BY105" s="862"/>
      <c r="BZ105" s="862"/>
      <c r="CA105" s="862"/>
      <c r="CB105" s="862"/>
      <c r="CC105" s="862"/>
      <c r="CD105" s="862"/>
      <c r="CE105" s="862"/>
      <c r="CF105" s="862"/>
      <c r="CG105" s="862"/>
      <c r="CH105" s="862"/>
      <c r="CI105" s="862"/>
      <c r="CJ105" s="862"/>
      <c r="CK105" s="862"/>
      <c r="CL105" s="862"/>
      <c r="CM105" s="862"/>
      <c r="CN105" s="862"/>
      <c r="CO105" s="862"/>
      <c r="CP105" s="862"/>
      <c r="CQ105" s="862"/>
      <c r="CR105" s="862"/>
      <c r="CS105" s="862"/>
      <c r="CT105" s="862"/>
      <c r="CU105" s="862"/>
      <c r="CV105" s="862"/>
      <c r="CW105" s="862"/>
      <c r="CX105" s="862"/>
      <c r="CY105" s="862"/>
      <c r="CZ105" s="862"/>
      <c r="DA105" s="862"/>
      <c r="DB105" s="862"/>
      <c r="DC105" s="862"/>
      <c r="DD105" s="862"/>
      <c r="DE105" s="862"/>
      <c r="DF105" s="862"/>
      <c r="DG105" s="862"/>
      <c r="DH105" s="862"/>
      <c r="DI105" s="862"/>
      <c r="DJ105" s="862"/>
      <c r="DK105" s="862"/>
      <c r="DL105" s="862"/>
      <c r="DM105" s="862"/>
      <c r="DN105" s="862"/>
      <c r="DO105" s="862"/>
      <c r="DP105" s="862"/>
      <c r="DQ105" s="862"/>
      <c r="DR105" s="862"/>
      <c r="DS105" s="862"/>
      <c r="DT105" s="862"/>
      <c r="DU105" s="862"/>
      <c r="DV105" s="862"/>
      <c r="DW105" s="862"/>
      <c r="DX105" s="862"/>
      <c r="DY105" s="862"/>
      <c r="DZ105" s="862"/>
      <c r="EA105" s="862"/>
      <c r="EB105" s="862"/>
      <c r="EC105" s="862"/>
      <c r="ED105" s="862"/>
      <c r="EE105" s="862"/>
      <c r="EF105" s="862"/>
      <c r="EG105" s="862"/>
      <c r="EH105" s="862"/>
      <c r="EI105" s="862"/>
      <c r="EJ105" s="862"/>
      <c r="EK105" s="862"/>
      <c r="EL105" s="862"/>
      <c r="EM105" s="862"/>
      <c r="EN105" s="862"/>
      <c r="EO105" s="862"/>
      <c r="EP105" s="862"/>
      <c r="EQ105" s="862"/>
      <c r="ER105" s="862"/>
      <c r="ES105" s="862"/>
      <c r="ET105" s="862"/>
      <c r="EU105" s="862"/>
      <c r="EV105" s="862"/>
      <c r="EW105" s="862"/>
      <c r="EX105" s="862"/>
      <c r="EY105" s="862"/>
      <c r="EZ105" s="862"/>
      <c r="FA105" s="862"/>
      <c r="FB105" s="862"/>
      <c r="FC105" s="862"/>
      <c r="FD105" s="862"/>
      <c r="FE105" s="862"/>
      <c r="FF105" s="862"/>
      <c r="FG105" s="862"/>
      <c r="FH105" s="862"/>
      <c r="FI105" s="862"/>
      <c r="FJ105" s="862"/>
      <c r="FK105" s="862"/>
      <c r="FL105" s="862"/>
      <c r="FM105" s="862"/>
      <c r="FN105" s="862"/>
      <c r="FO105" s="862"/>
      <c r="FP105" s="862"/>
      <c r="FQ105" s="862"/>
      <c r="FR105" s="862"/>
      <c r="FS105" s="862"/>
      <c r="FT105" s="862"/>
      <c r="FU105" s="862"/>
      <c r="FV105" s="862"/>
      <c r="FW105" s="862"/>
      <c r="FX105" s="862"/>
      <c r="FY105" s="862"/>
      <c r="FZ105" s="862"/>
      <c r="GA105" s="862"/>
      <c r="GB105" s="862"/>
      <c r="GC105" s="862"/>
      <c r="GD105" s="862"/>
      <c r="GE105" s="862"/>
      <c r="GF105" s="862"/>
      <c r="GG105" s="862"/>
      <c r="GH105" s="862"/>
      <c r="GI105" s="862"/>
      <c r="GJ105" s="862"/>
      <c r="GK105" s="862"/>
      <c r="GL105" s="862"/>
      <c r="GM105" s="862"/>
      <c r="GN105" s="862"/>
      <c r="GO105" s="862"/>
      <c r="GP105" s="862"/>
      <c r="GQ105" s="862"/>
      <c r="GR105" s="862"/>
      <c r="GS105" s="862"/>
      <c r="GT105" s="862"/>
      <c r="GU105" s="862"/>
      <c r="GV105" s="862"/>
      <c r="GW105" s="862"/>
      <c r="GX105" s="862"/>
      <c r="GY105" s="862"/>
      <c r="GZ105" s="862"/>
      <c r="HA105" s="862"/>
      <c r="HB105" s="862"/>
      <c r="HC105" s="862"/>
      <c r="HD105" s="862"/>
      <c r="HE105" s="862"/>
      <c r="HF105" s="862"/>
      <c r="HG105" s="862"/>
      <c r="HH105" s="862"/>
      <c r="HI105" s="862"/>
      <c r="HJ105" s="862"/>
      <c r="HK105" s="862"/>
      <c r="HL105" s="862"/>
      <c r="HM105" s="862"/>
      <c r="HN105" s="862"/>
      <c r="HO105" s="862"/>
      <c r="HP105" s="862"/>
      <c r="HQ105" s="862"/>
      <c r="HR105" s="862"/>
      <c r="HS105" s="862"/>
      <c r="HT105" s="862"/>
      <c r="HU105" s="862"/>
      <c r="HV105" s="862"/>
      <c r="HW105" s="862"/>
      <c r="HX105" s="862"/>
      <c r="HY105" s="862"/>
      <c r="HZ105" s="862"/>
      <c r="IA105" s="862"/>
      <c r="IB105" s="862"/>
      <c r="IC105" s="862"/>
      <c r="ID105" s="862"/>
      <c r="IE105" s="862"/>
      <c r="IF105" s="862"/>
      <c r="IG105" s="862"/>
      <c r="IH105" s="862"/>
      <c r="II105" s="862"/>
      <c r="IJ105" s="862"/>
      <c r="IK105" s="862"/>
      <c r="IL105" s="862"/>
      <c r="IM105" s="862"/>
      <c r="IN105" s="862"/>
      <c r="IO105" s="862"/>
      <c r="IP105" s="862"/>
      <c r="IQ105" s="862"/>
      <c r="IR105" s="862"/>
      <c r="IS105" s="862"/>
      <c r="IT105" s="862"/>
      <c r="IU105" s="862"/>
      <c r="IV105" s="862"/>
    </row>
    <row r="106" spans="1:256" s="508" customFormat="1" ht="54" customHeight="1">
      <c r="A106" s="849"/>
      <c r="B106" s="850"/>
      <c r="C106" s="851"/>
      <c r="D106" s="865" t="s">
        <v>210</v>
      </c>
      <c r="E106" s="36"/>
      <c r="F106" s="548"/>
      <c r="G106" s="848"/>
      <c r="H106" s="848"/>
      <c r="I106" s="697"/>
      <c r="J106" s="637"/>
      <c r="K106" s="638"/>
      <c r="L106" s="639"/>
      <c r="M106" s="640"/>
      <c r="N106" s="641"/>
      <c r="O106" s="642"/>
      <c r="P106" s="641"/>
      <c r="Q106" s="643"/>
      <c r="R106" s="644"/>
      <c r="S106" s="645"/>
      <c r="T106" s="646"/>
      <c r="U106" s="646"/>
      <c r="V106" s="646"/>
      <c r="W106" s="646"/>
      <c r="X106" s="646"/>
      <c r="Y106" s="646"/>
      <c r="Z106" s="646"/>
      <c r="AA106" s="646"/>
      <c r="AB106" s="646"/>
      <c r="AC106" s="646"/>
      <c r="AD106" s="646"/>
      <c r="AE106" s="646"/>
      <c r="AF106" s="646"/>
      <c r="AG106" s="646"/>
      <c r="AH106" s="646"/>
      <c r="AI106" s="646"/>
      <c r="AJ106" s="646"/>
      <c r="AK106" s="646"/>
      <c r="AL106" s="646"/>
      <c r="AM106" s="646"/>
      <c r="AN106" s="646"/>
      <c r="AO106" s="646"/>
      <c r="AP106" s="646"/>
      <c r="AQ106" s="646"/>
      <c r="AR106" s="646"/>
      <c r="AS106" s="646"/>
      <c r="AT106" s="647"/>
      <c r="AU106" s="647"/>
      <c r="AV106" s="647"/>
      <c r="AW106" s="647"/>
      <c r="AX106" s="647"/>
      <c r="AY106" s="506"/>
      <c r="AZ106" s="506"/>
      <c r="BA106" s="506"/>
      <c r="BB106" s="506"/>
      <c r="BC106" s="506"/>
      <c r="BD106" s="506"/>
      <c r="BE106" s="506"/>
      <c r="BF106" s="506"/>
      <c r="BG106" s="506"/>
      <c r="BH106" s="506"/>
      <c r="BI106" s="506"/>
      <c r="BJ106" s="506"/>
      <c r="BK106" s="506"/>
      <c r="BL106" s="506"/>
      <c r="BM106" s="506"/>
      <c r="BN106" s="506"/>
      <c r="BO106" s="506"/>
      <c r="BP106" s="506"/>
      <c r="BQ106" s="506"/>
      <c r="BR106" s="506"/>
      <c r="BS106" s="506"/>
      <c r="BT106" s="506"/>
      <c r="BU106" s="506"/>
      <c r="BV106" s="506"/>
      <c r="BW106" s="506"/>
      <c r="BX106" s="506"/>
      <c r="BY106" s="506"/>
      <c r="BZ106" s="506"/>
      <c r="CA106" s="506"/>
      <c r="CB106" s="506"/>
      <c r="CC106" s="506"/>
      <c r="CD106" s="506"/>
      <c r="CE106" s="506"/>
      <c r="CF106" s="506"/>
      <c r="CG106" s="506"/>
      <c r="CH106" s="506"/>
      <c r="CI106" s="506"/>
      <c r="CJ106" s="506"/>
      <c r="CK106" s="506"/>
      <c r="CL106" s="506"/>
      <c r="CM106" s="506"/>
      <c r="CN106" s="506"/>
      <c r="CO106" s="506"/>
      <c r="CP106" s="506"/>
      <c r="CQ106" s="506"/>
      <c r="CR106" s="506"/>
      <c r="CS106" s="506"/>
      <c r="CT106" s="506"/>
      <c r="CU106" s="506"/>
      <c r="CV106" s="506"/>
      <c r="CW106" s="506"/>
      <c r="CX106" s="506"/>
      <c r="CY106" s="506"/>
      <c r="CZ106" s="506"/>
      <c r="DA106" s="506"/>
      <c r="DB106" s="506"/>
      <c r="DC106" s="506"/>
      <c r="DD106" s="506"/>
      <c r="DE106" s="506"/>
      <c r="DF106" s="506"/>
      <c r="DG106" s="506"/>
      <c r="DH106" s="506"/>
      <c r="DI106" s="506"/>
      <c r="DJ106" s="506"/>
      <c r="DK106" s="506"/>
      <c r="DL106" s="506"/>
      <c r="DM106" s="506"/>
      <c r="DN106" s="506"/>
      <c r="DO106" s="506"/>
      <c r="DP106" s="506"/>
      <c r="DQ106" s="506"/>
      <c r="DR106" s="506"/>
      <c r="DS106" s="506"/>
      <c r="DT106" s="506"/>
      <c r="DU106" s="506"/>
      <c r="DV106" s="506"/>
      <c r="DW106" s="506"/>
      <c r="DX106" s="506"/>
      <c r="DY106" s="506"/>
      <c r="DZ106" s="506"/>
      <c r="EA106" s="506"/>
      <c r="EB106" s="506"/>
      <c r="EC106" s="506"/>
      <c r="ED106" s="506"/>
      <c r="EE106" s="506"/>
      <c r="EF106" s="506"/>
      <c r="EG106" s="506"/>
      <c r="EH106" s="506"/>
      <c r="EI106" s="506"/>
      <c r="EJ106" s="506"/>
      <c r="EK106" s="506"/>
      <c r="EL106" s="506"/>
      <c r="EM106" s="506"/>
      <c r="EN106" s="506"/>
      <c r="EO106" s="506"/>
      <c r="EP106" s="506"/>
      <c r="EQ106" s="506"/>
      <c r="ER106" s="506"/>
      <c r="ES106" s="506"/>
      <c r="ET106" s="506"/>
      <c r="EU106" s="506"/>
      <c r="EV106" s="506"/>
      <c r="EW106" s="506"/>
      <c r="EX106" s="506"/>
      <c r="EY106" s="506"/>
      <c r="EZ106" s="506"/>
      <c r="FA106" s="506"/>
      <c r="FB106" s="506"/>
      <c r="FC106" s="506"/>
      <c r="FD106" s="506"/>
      <c r="FE106" s="506"/>
      <c r="FF106" s="506"/>
      <c r="FG106" s="506"/>
      <c r="FH106" s="506"/>
      <c r="FI106" s="506"/>
      <c r="FJ106" s="506"/>
      <c r="FK106" s="506"/>
      <c r="FL106" s="506"/>
      <c r="FM106" s="506"/>
      <c r="FN106" s="506"/>
      <c r="FO106" s="506"/>
      <c r="FP106" s="506"/>
      <c r="FQ106" s="506"/>
      <c r="FR106" s="506"/>
      <c r="FS106" s="506"/>
      <c r="FT106" s="506"/>
      <c r="FU106" s="506"/>
      <c r="FV106" s="506"/>
      <c r="FW106" s="506"/>
      <c r="FX106" s="506"/>
      <c r="FY106" s="506"/>
      <c r="FZ106" s="506"/>
      <c r="GA106" s="506"/>
      <c r="GB106" s="506"/>
      <c r="GC106" s="506"/>
      <c r="GD106" s="506"/>
      <c r="GE106" s="506"/>
      <c r="GF106" s="506"/>
      <c r="GG106" s="506"/>
      <c r="GH106" s="506"/>
      <c r="GI106" s="506"/>
      <c r="GJ106" s="506"/>
      <c r="GK106" s="506"/>
      <c r="GL106" s="506"/>
      <c r="GM106" s="506"/>
      <c r="GN106" s="506"/>
      <c r="GO106" s="506"/>
      <c r="GP106" s="506"/>
      <c r="GQ106" s="506"/>
      <c r="GR106" s="506"/>
      <c r="GS106" s="506"/>
      <c r="GT106" s="506"/>
      <c r="GU106" s="506"/>
      <c r="GV106" s="506"/>
      <c r="GW106" s="506"/>
      <c r="GX106" s="506"/>
      <c r="GY106" s="506"/>
      <c r="GZ106" s="506"/>
      <c r="HA106" s="506"/>
      <c r="HB106" s="506"/>
      <c r="HC106" s="506"/>
      <c r="HD106" s="506"/>
      <c r="HE106" s="506"/>
      <c r="HF106" s="506"/>
      <c r="HG106" s="506"/>
      <c r="HH106" s="506"/>
      <c r="HI106" s="506"/>
      <c r="HJ106" s="506"/>
      <c r="HK106" s="506"/>
      <c r="HL106" s="506"/>
      <c r="HM106" s="506"/>
      <c r="HN106" s="506"/>
      <c r="HO106" s="506"/>
      <c r="HP106" s="506"/>
      <c r="HQ106" s="506"/>
      <c r="HR106" s="506"/>
      <c r="HS106" s="506"/>
      <c r="HT106" s="506"/>
      <c r="HU106" s="506"/>
      <c r="HV106" s="506"/>
      <c r="HW106" s="506"/>
      <c r="HX106" s="506"/>
      <c r="HY106" s="506"/>
      <c r="HZ106" s="506"/>
      <c r="IA106" s="506"/>
      <c r="IB106" s="506"/>
      <c r="IC106" s="506"/>
      <c r="ID106" s="506"/>
      <c r="IE106" s="506"/>
      <c r="IF106" s="506"/>
      <c r="IG106" s="506"/>
      <c r="IH106" s="506"/>
      <c r="II106" s="506"/>
      <c r="IJ106" s="506"/>
      <c r="IK106" s="506"/>
      <c r="IL106" s="506"/>
      <c r="IM106" s="506"/>
      <c r="IN106" s="506"/>
      <c r="IO106" s="506"/>
      <c r="IP106" s="506"/>
      <c r="IQ106" s="506"/>
      <c r="IR106" s="506"/>
      <c r="IS106" s="506"/>
      <c r="IT106" s="506"/>
      <c r="IU106" s="506"/>
      <c r="IV106" s="506"/>
    </row>
    <row r="107" spans="1:256" s="314" customFormat="1" ht="13.5" customHeight="1">
      <c r="A107" s="323"/>
      <c r="B107" s="324"/>
      <c r="C107" s="694">
        <v>5</v>
      </c>
      <c r="D107" s="694" t="s">
        <v>175</v>
      </c>
      <c r="E107" s="324"/>
      <c r="F107" s="325"/>
      <c r="G107" s="326"/>
      <c r="H107" s="326">
        <f>SUM(H108:H120)</f>
        <v>0</v>
      </c>
      <c r="I107" s="327"/>
      <c r="J107" s="1165"/>
      <c r="K107" s="328"/>
      <c r="L107" s="328"/>
      <c r="M107" s="328"/>
      <c r="N107" s="328"/>
      <c r="O107" s="313"/>
      <c r="P107" s="313"/>
      <c r="Q107" s="313"/>
      <c r="R107" s="313"/>
      <c r="S107" s="313"/>
      <c r="T107" s="313"/>
      <c r="U107" s="313"/>
      <c r="V107" s="313"/>
      <c r="W107" s="313"/>
      <c r="X107" s="313"/>
      <c r="Y107" s="313"/>
      <c r="Z107" s="313"/>
      <c r="AA107" s="313"/>
      <c r="AB107" s="313"/>
      <c r="AC107" s="313"/>
      <c r="AD107" s="313"/>
      <c r="AE107" s="313"/>
      <c r="AF107" s="313"/>
      <c r="AG107" s="313"/>
      <c r="AH107" s="313"/>
      <c r="AI107" s="313"/>
      <c r="AJ107" s="313"/>
      <c r="AK107" s="313"/>
      <c r="AL107" s="313"/>
      <c r="AM107" s="313"/>
      <c r="AN107" s="313"/>
      <c r="AO107" s="313"/>
      <c r="AP107" s="313"/>
      <c r="AQ107" s="313"/>
      <c r="AR107" s="313"/>
      <c r="AS107" s="313"/>
      <c r="AT107" s="313"/>
      <c r="AU107" s="313"/>
      <c r="AV107" s="313"/>
      <c r="AW107" s="313"/>
      <c r="AX107" s="313"/>
      <c r="AY107" s="313"/>
      <c r="AZ107" s="313"/>
      <c r="BA107" s="313"/>
      <c r="BB107" s="313"/>
      <c r="BC107" s="313"/>
      <c r="BD107" s="313"/>
      <c r="BE107" s="313"/>
      <c r="BF107" s="313"/>
      <c r="BG107" s="313"/>
      <c r="BH107" s="313"/>
      <c r="BI107" s="313"/>
      <c r="BJ107" s="313"/>
      <c r="BK107" s="313"/>
      <c r="BL107" s="313"/>
      <c r="BM107" s="313"/>
      <c r="BN107" s="313"/>
      <c r="BO107" s="313"/>
      <c r="BP107" s="313"/>
      <c r="BQ107" s="313"/>
      <c r="BR107" s="313"/>
      <c r="BS107" s="313"/>
      <c r="BT107" s="313"/>
      <c r="BU107" s="313"/>
      <c r="BV107" s="313"/>
      <c r="BW107" s="313"/>
      <c r="BX107" s="313"/>
      <c r="BY107" s="313"/>
      <c r="BZ107" s="313"/>
      <c r="CA107" s="313"/>
      <c r="CB107" s="313"/>
      <c r="CC107" s="313"/>
      <c r="CD107" s="313"/>
      <c r="CE107" s="313"/>
      <c r="CF107" s="313"/>
      <c r="CG107" s="313"/>
      <c r="CH107" s="313"/>
      <c r="CI107" s="313"/>
      <c r="CJ107" s="313"/>
      <c r="CK107" s="313"/>
      <c r="CL107" s="313"/>
      <c r="CM107" s="313"/>
      <c r="CN107" s="313"/>
      <c r="CO107" s="313"/>
      <c r="CP107" s="313"/>
      <c r="CQ107" s="313"/>
      <c r="CR107" s="313"/>
      <c r="CS107" s="313"/>
      <c r="CT107" s="313"/>
      <c r="CU107" s="313"/>
      <c r="CV107" s="313"/>
      <c r="CW107" s="313"/>
      <c r="CX107" s="313"/>
      <c r="CY107" s="313"/>
      <c r="CZ107" s="313"/>
      <c r="DA107" s="313"/>
      <c r="DB107" s="313"/>
      <c r="DC107" s="313"/>
      <c r="DD107" s="313"/>
      <c r="DE107" s="313"/>
      <c r="DF107" s="313"/>
      <c r="DG107" s="313"/>
      <c r="DH107" s="313"/>
      <c r="DI107" s="313"/>
      <c r="DJ107" s="313"/>
      <c r="DK107" s="313"/>
      <c r="DL107" s="313"/>
      <c r="DM107" s="313"/>
      <c r="DN107" s="313"/>
      <c r="DO107" s="313"/>
      <c r="DP107" s="313"/>
      <c r="DQ107" s="313"/>
      <c r="DR107" s="313"/>
      <c r="DS107" s="313"/>
      <c r="DT107" s="313"/>
      <c r="DU107" s="313"/>
      <c r="DV107" s="313"/>
      <c r="DW107" s="313"/>
      <c r="DX107" s="313"/>
      <c r="DY107" s="313"/>
      <c r="DZ107" s="313"/>
      <c r="EA107" s="313"/>
      <c r="EB107" s="313"/>
      <c r="EC107" s="313"/>
      <c r="ED107" s="313"/>
      <c r="EE107" s="313"/>
      <c r="EF107" s="313"/>
      <c r="EG107" s="313"/>
      <c r="EH107" s="313"/>
      <c r="EI107" s="313"/>
      <c r="EJ107" s="313"/>
      <c r="EK107" s="313"/>
      <c r="EL107" s="313"/>
      <c r="EM107" s="313"/>
      <c r="EN107" s="313"/>
      <c r="EO107" s="313"/>
      <c r="EP107" s="313"/>
      <c r="EQ107" s="313"/>
      <c r="ER107" s="313"/>
      <c r="ES107" s="313"/>
      <c r="ET107" s="313"/>
    </row>
    <row r="108" spans="1:256" s="508" customFormat="1" ht="13.5" customHeight="1">
      <c r="A108" s="699" t="s">
        <v>291</v>
      </c>
      <c r="B108" s="700" t="s">
        <v>119</v>
      </c>
      <c r="C108" s="34">
        <v>564551111</v>
      </c>
      <c r="D108" s="34" t="s">
        <v>385</v>
      </c>
      <c r="E108" s="34" t="s">
        <v>98</v>
      </c>
      <c r="F108" s="35">
        <f>SUM(F109)</f>
        <v>176.3</v>
      </c>
      <c r="G108" s="79"/>
      <c r="H108" s="532">
        <f>F108*G108</f>
        <v>0</v>
      </c>
      <c r="I108" s="533" t="s">
        <v>738</v>
      </c>
      <c r="J108" s="791"/>
      <c r="K108" s="452"/>
      <c r="L108" s="452"/>
      <c r="M108" s="452"/>
      <c r="N108" s="452"/>
      <c r="O108" s="452"/>
      <c r="P108" s="461"/>
      <c r="Q108" s="461"/>
      <c r="R108" s="452"/>
      <c r="S108" s="461"/>
      <c r="T108" s="452"/>
      <c r="U108" s="452"/>
      <c r="V108" s="452"/>
      <c r="W108" s="452"/>
      <c r="X108" s="452"/>
      <c r="Y108" s="452"/>
      <c r="Z108" s="452"/>
      <c r="AA108" s="452"/>
      <c r="AB108" s="452"/>
      <c r="AC108" s="452"/>
      <c r="AD108" s="452"/>
      <c r="AE108" s="452"/>
      <c r="AF108" s="452"/>
      <c r="AG108" s="452"/>
      <c r="AH108" s="452"/>
      <c r="AI108" s="452"/>
      <c r="AJ108" s="452"/>
      <c r="AK108" s="452"/>
      <c r="AL108" s="509"/>
      <c r="AM108" s="509"/>
      <c r="AN108" s="509"/>
      <c r="AO108" s="509"/>
      <c r="AP108" s="509"/>
      <c r="AQ108" s="509"/>
      <c r="AR108" s="509"/>
      <c r="AS108" s="509"/>
      <c r="AT108" s="509"/>
      <c r="AU108" s="509"/>
      <c r="AV108" s="509"/>
      <c r="AW108" s="509"/>
      <c r="AX108" s="509"/>
      <c r="AY108" s="509"/>
      <c r="AZ108" s="509"/>
      <c r="BA108" s="509"/>
      <c r="BB108" s="509"/>
      <c r="BC108" s="509"/>
      <c r="BD108" s="509"/>
      <c r="BE108" s="509"/>
      <c r="BF108" s="509"/>
      <c r="BG108" s="509"/>
      <c r="BH108" s="509"/>
      <c r="BI108" s="509"/>
      <c r="BJ108" s="509"/>
      <c r="BK108" s="509"/>
      <c r="BL108" s="509"/>
      <c r="BM108" s="509"/>
      <c r="BN108" s="509"/>
      <c r="BO108" s="509"/>
      <c r="BP108" s="509"/>
      <c r="BQ108" s="509"/>
      <c r="BR108" s="509"/>
      <c r="BS108" s="509"/>
      <c r="BT108" s="509"/>
      <c r="BU108" s="509"/>
      <c r="BV108" s="509"/>
      <c r="BW108" s="509"/>
      <c r="BX108" s="509"/>
      <c r="BY108" s="509"/>
      <c r="BZ108" s="509"/>
      <c r="CA108" s="509"/>
      <c r="CB108" s="509"/>
      <c r="CC108" s="509"/>
      <c r="CD108" s="509"/>
      <c r="CE108" s="509"/>
      <c r="CF108" s="509"/>
      <c r="CG108" s="509"/>
      <c r="CH108" s="509"/>
      <c r="CI108" s="509"/>
      <c r="CJ108" s="509"/>
      <c r="CK108" s="509"/>
      <c r="CL108" s="509"/>
      <c r="CM108" s="509"/>
      <c r="CN108" s="509"/>
      <c r="CO108" s="509"/>
      <c r="CP108" s="509"/>
      <c r="CQ108" s="509"/>
      <c r="CR108" s="509"/>
      <c r="CS108" s="509"/>
      <c r="CT108" s="509"/>
      <c r="CU108" s="509"/>
      <c r="CV108" s="509"/>
      <c r="CW108" s="509"/>
      <c r="CX108" s="509"/>
      <c r="CY108" s="509"/>
      <c r="CZ108" s="509"/>
      <c r="DA108" s="509"/>
      <c r="DB108" s="509"/>
      <c r="DC108" s="509"/>
      <c r="DD108" s="509"/>
      <c r="DE108" s="509"/>
      <c r="DF108" s="509"/>
      <c r="DG108" s="509"/>
      <c r="DH108" s="509"/>
      <c r="DI108" s="509"/>
      <c r="DJ108" s="509"/>
      <c r="DK108" s="509"/>
      <c r="DL108" s="509"/>
      <c r="DM108" s="509"/>
      <c r="DN108" s="509"/>
      <c r="DO108" s="509"/>
      <c r="DP108" s="509"/>
      <c r="DQ108" s="509"/>
      <c r="DR108" s="509"/>
      <c r="DS108" s="509"/>
      <c r="DT108" s="509"/>
      <c r="DU108" s="509"/>
      <c r="DV108" s="509"/>
      <c r="DW108" s="509"/>
      <c r="DX108" s="509"/>
      <c r="DY108" s="509"/>
      <c r="DZ108" s="509"/>
      <c r="EA108" s="509"/>
      <c r="EB108" s="509"/>
      <c r="EC108" s="509"/>
      <c r="ED108" s="509"/>
      <c r="EE108" s="509"/>
      <c r="EF108" s="509"/>
      <c r="EG108" s="509"/>
      <c r="EH108" s="509"/>
      <c r="EI108" s="509"/>
      <c r="EJ108" s="509"/>
      <c r="EK108" s="509"/>
      <c r="EL108" s="509"/>
      <c r="EM108" s="509"/>
      <c r="EN108" s="509"/>
      <c r="EO108" s="509"/>
      <c r="EP108" s="509"/>
      <c r="EQ108" s="509"/>
      <c r="ER108" s="509"/>
      <c r="ES108" s="509"/>
      <c r="ET108" s="509"/>
    </row>
    <row r="109" spans="1:256" s="1168" customFormat="1" ht="27" customHeight="1">
      <c r="A109" s="699"/>
      <c r="B109" s="1166"/>
      <c r="C109" s="34"/>
      <c r="D109" s="36" t="s">
        <v>386</v>
      </c>
      <c r="E109" s="1166"/>
      <c r="F109" s="548">
        <f>(176.3)</f>
        <v>176.3</v>
      </c>
      <c r="G109" s="1167"/>
      <c r="H109" s="532"/>
      <c r="I109" s="533"/>
      <c r="J109" s="857"/>
      <c r="K109" s="857"/>
      <c r="L109" s="857"/>
      <c r="M109" s="857"/>
      <c r="N109" s="857"/>
      <c r="O109" s="857"/>
      <c r="P109" s="857"/>
      <c r="Q109" s="804"/>
      <c r="R109" s="1146"/>
      <c r="S109" s="804"/>
      <c r="T109" s="804"/>
      <c r="U109" s="804"/>
      <c r="V109" s="804"/>
      <c r="W109" s="804"/>
      <c r="X109" s="804"/>
      <c r="Y109" s="804"/>
      <c r="Z109" s="804"/>
      <c r="AA109" s="804"/>
      <c r="AB109" s="804"/>
      <c r="AC109" s="804"/>
      <c r="AD109" s="804"/>
      <c r="AE109" s="804"/>
      <c r="AF109" s="804"/>
      <c r="AG109" s="804"/>
      <c r="AH109" s="804"/>
      <c r="AI109" s="804"/>
      <c r="AJ109" s="804"/>
      <c r="AK109" s="804"/>
      <c r="AL109" s="857"/>
      <c r="AM109" s="857"/>
      <c r="AN109" s="857"/>
      <c r="AO109" s="857"/>
      <c r="AP109" s="857"/>
      <c r="AQ109" s="857"/>
      <c r="AR109" s="857"/>
      <c r="AS109" s="857"/>
      <c r="AT109" s="857"/>
      <c r="AU109" s="857"/>
      <c r="AV109" s="857"/>
      <c r="AW109" s="857"/>
      <c r="AX109" s="857"/>
      <c r="AY109" s="857"/>
      <c r="AZ109" s="857"/>
      <c r="BA109" s="857"/>
      <c r="BB109" s="857"/>
      <c r="BC109" s="857"/>
      <c r="BD109" s="857"/>
      <c r="BE109" s="857"/>
      <c r="BF109" s="857"/>
      <c r="BG109" s="857"/>
      <c r="BH109" s="857"/>
      <c r="BI109" s="857"/>
      <c r="BJ109" s="857"/>
      <c r="BK109" s="857"/>
      <c r="BL109" s="857"/>
      <c r="BM109" s="857"/>
      <c r="BN109" s="857"/>
      <c r="BO109" s="857"/>
      <c r="BP109" s="857"/>
      <c r="BQ109" s="857"/>
      <c r="BR109" s="857"/>
      <c r="BS109" s="857"/>
      <c r="BT109" s="857"/>
      <c r="BU109" s="857"/>
      <c r="BV109" s="857"/>
      <c r="BW109" s="857"/>
      <c r="BX109" s="857"/>
      <c r="BY109" s="857"/>
      <c r="BZ109" s="857"/>
      <c r="CA109" s="857"/>
      <c r="CB109" s="857"/>
      <c r="CC109" s="857"/>
      <c r="CD109" s="857"/>
      <c r="CE109" s="857"/>
      <c r="CF109" s="857"/>
      <c r="CG109" s="857"/>
      <c r="CH109" s="857"/>
      <c r="CI109" s="857"/>
      <c r="CJ109" s="857"/>
      <c r="CK109" s="857"/>
      <c r="CL109" s="857"/>
      <c r="CM109" s="857"/>
      <c r="CN109" s="857"/>
      <c r="CO109" s="857"/>
      <c r="CP109" s="857"/>
      <c r="CQ109" s="857"/>
      <c r="CR109" s="857"/>
      <c r="CS109" s="857"/>
      <c r="CT109" s="857"/>
      <c r="CU109" s="857"/>
      <c r="CV109" s="857"/>
      <c r="CW109" s="857"/>
      <c r="CX109" s="857"/>
      <c r="CY109" s="857"/>
      <c r="CZ109" s="857"/>
      <c r="DA109" s="857"/>
      <c r="DB109" s="857"/>
      <c r="DC109" s="857"/>
      <c r="DD109" s="857"/>
      <c r="DE109" s="857"/>
      <c r="DF109" s="857"/>
      <c r="DG109" s="857"/>
      <c r="DH109" s="857"/>
      <c r="DI109" s="857"/>
      <c r="DJ109" s="857"/>
      <c r="DK109" s="857"/>
      <c r="DL109" s="857"/>
      <c r="DM109" s="857"/>
      <c r="DN109" s="857"/>
      <c r="DO109" s="857"/>
      <c r="DP109" s="857"/>
      <c r="DQ109" s="857"/>
      <c r="DR109" s="857"/>
      <c r="DS109" s="857"/>
      <c r="DT109" s="857"/>
      <c r="DU109" s="857"/>
      <c r="DV109" s="857"/>
      <c r="DW109" s="857"/>
      <c r="DX109" s="857"/>
      <c r="DY109" s="857"/>
      <c r="DZ109" s="857"/>
      <c r="EA109" s="857"/>
      <c r="EB109" s="857"/>
      <c r="EC109" s="857"/>
      <c r="ED109" s="857"/>
      <c r="EE109" s="857"/>
      <c r="EF109" s="857"/>
      <c r="EG109" s="857"/>
      <c r="EH109" s="857"/>
      <c r="EI109" s="857"/>
      <c r="EJ109" s="857"/>
      <c r="EK109" s="857"/>
      <c r="EL109" s="857"/>
      <c r="EM109" s="857"/>
      <c r="EN109" s="857"/>
      <c r="EO109" s="857"/>
      <c r="EP109" s="857"/>
      <c r="EQ109" s="857"/>
      <c r="ER109" s="857"/>
      <c r="ES109" s="857"/>
      <c r="ET109" s="857"/>
    </row>
    <row r="110" spans="1:256" s="508" customFormat="1" ht="13.5" customHeight="1">
      <c r="A110" s="699" t="s">
        <v>277</v>
      </c>
      <c r="B110" s="700" t="s">
        <v>119</v>
      </c>
      <c r="C110" s="34">
        <v>564551113</v>
      </c>
      <c r="D110" s="34" t="s">
        <v>286</v>
      </c>
      <c r="E110" s="34" t="s">
        <v>98</v>
      </c>
      <c r="F110" s="35">
        <f>SUM(F111)</f>
        <v>40.200000000000003</v>
      </c>
      <c r="G110" s="79"/>
      <c r="H110" s="532">
        <f>F110*G110</f>
        <v>0</v>
      </c>
      <c r="I110" s="533" t="s">
        <v>738</v>
      </c>
      <c r="J110" s="1169"/>
      <c r="K110" s="452"/>
      <c r="L110" s="452"/>
      <c r="M110" s="452"/>
      <c r="N110" s="452"/>
      <c r="O110" s="452"/>
      <c r="P110" s="461"/>
      <c r="Q110" s="461"/>
      <c r="R110" s="452"/>
      <c r="S110" s="461"/>
      <c r="T110" s="452"/>
      <c r="U110" s="452"/>
      <c r="V110" s="452"/>
      <c r="W110" s="452"/>
      <c r="X110" s="452"/>
      <c r="Y110" s="452"/>
      <c r="Z110" s="452"/>
      <c r="AA110" s="452"/>
      <c r="AB110" s="452"/>
      <c r="AC110" s="452"/>
      <c r="AD110" s="452"/>
      <c r="AE110" s="452"/>
      <c r="AF110" s="452"/>
      <c r="AG110" s="452"/>
      <c r="AH110" s="452"/>
      <c r="AI110" s="452"/>
      <c r="AJ110" s="452"/>
      <c r="AK110" s="452"/>
      <c r="AL110" s="509"/>
      <c r="AM110" s="509"/>
      <c r="AN110" s="509"/>
      <c r="AO110" s="509"/>
      <c r="AP110" s="509"/>
      <c r="AQ110" s="509"/>
      <c r="AR110" s="509"/>
      <c r="AS110" s="509"/>
      <c r="AT110" s="509"/>
      <c r="AU110" s="509"/>
      <c r="AV110" s="509"/>
      <c r="AW110" s="509"/>
      <c r="AX110" s="509"/>
      <c r="AY110" s="509"/>
      <c r="AZ110" s="509"/>
      <c r="BA110" s="509"/>
      <c r="BB110" s="509"/>
      <c r="BC110" s="509"/>
      <c r="BD110" s="509"/>
      <c r="BE110" s="509"/>
      <c r="BF110" s="509"/>
      <c r="BG110" s="509"/>
      <c r="BH110" s="509"/>
      <c r="BI110" s="509"/>
      <c r="BJ110" s="509"/>
      <c r="BK110" s="509"/>
      <c r="BL110" s="509"/>
      <c r="BM110" s="509"/>
      <c r="BN110" s="509"/>
      <c r="BO110" s="509"/>
      <c r="BP110" s="509"/>
      <c r="BQ110" s="509"/>
      <c r="BR110" s="509"/>
      <c r="BS110" s="509"/>
      <c r="BT110" s="509"/>
      <c r="BU110" s="509"/>
      <c r="BV110" s="509"/>
      <c r="BW110" s="509"/>
      <c r="BX110" s="509"/>
      <c r="BY110" s="509"/>
      <c r="BZ110" s="509"/>
      <c r="CA110" s="509"/>
      <c r="CB110" s="509"/>
      <c r="CC110" s="509"/>
      <c r="CD110" s="509"/>
      <c r="CE110" s="509"/>
      <c r="CF110" s="509"/>
      <c r="CG110" s="509"/>
      <c r="CH110" s="509"/>
      <c r="CI110" s="509"/>
      <c r="CJ110" s="509"/>
      <c r="CK110" s="509"/>
      <c r="CL110" s="509"/>
      <c r="CM110" s="509"/>
      <c r="CN110" s="509"/>
      <c r="CO110" s="509"/>
      <c r="CP110" s="509"/>
      <c r="CQ110" s="509"/>
      <c r="CR110" s="509"/>
      <c r="CS110" s="509"/>
      <c r="CT110" s="509"/>
      <c r="CU110" s="509"/>
      <c r="CV110" s="509"/>
      <c r="CW110" s="509"/>
      <c r="CX110" s="509"/>
      <c r="CY110" s="509"/>
      <c r="CZ110" s="509"/>
      <c r="DA110" s="509"/>
      <c r="DB110" s="509"/>
      <c r="DC110" s="509"/>
      <c r="DD110" s="509"/>
      <c r="DE110" s="509"/>
      <c r="DF110" s="509"/>
      <c r="DG110" s="509"/>
      <c r="DH110" s="509"/>
      <c r="DI110" s="509"/>
      <c r="DJ110" s="509"/>
      <c r="DK110" s="509"/>
      <c r="DL110" s="509"/>
      <c r="DM110" s="509"/>
      <c r="DN110" s="509"/>
      <c r="DO110" s="509"/>
      <c r="DP110" s="509"/>
      <c r="DQ110" s="509"/>
      <c r="DR110" s="509"/>
      <c r="DS110" s="509"/>
      <c r="DT110" s="509"/>
      <c r="DU110" s="509"/>
      <c r="DV110" s="509"/>
      <c r="DW110" s="509"/>
      <c r="DX110" s="509"/>
      <c r="DY110" s="509"/>
      <c r="DZ110" s="509"/>
      <c r="EA110" s="509"/>
      <c r="EB110" s="509"/>
      <c r="EC110" s="509"/>
      <c r="ED110" s="509"/>
      <c r="EE110" s="509"/>
      <c r="EF110" s="509"/>
      <c r="EG110" s="509"/>
      <c r="EH110" s="509"/>
      <c r="EI110" s="509"/>
      <c r="EJ110" s="509"/>
      <c r="EK110" s="509"/>
      <c r="EL110" s="509"/>
      <c r="EM110" s="509"/>
      <c r="EN110" s="509"/>
      <c r="EO110" s="509"/>
      <c r="EP110" s="509"/>
      <c r="EQ110" s="509"/>
      <c r="ER110" s="509"/>
      <c r="ES110" s="509"/>
      <c r="ET110" s="509"/>
    </row>
    <row r="111" spans="1:256" s="1168" customFormat="1" ht="27" customHeight="1">
      <c r="A111" s="699"/>
      <c r="B111" s="1166"/>
      <c r="C111" s="34"/>
      <c r="D111" s="36" t="s">
        <v>384</v>
      </c>
      <c r="E111" s="1166"/>
      <c r="F111" s="548">
        <f>(15.75+24.45)</f>
        <v>40.200000000000003</v>
      </c>
      <c r="G111" s="1167"/>
      <c r="H111" s="532"/>
      <c r="I111" s="533"/>
      <c r="J111" s="1169"/>
      <c r="K111" s="857"/>
      <c r="L111" s="857"/>
      <c r="M111" s="857"/>
      <c r="N111" s="857"/>
      <c r="O111" s="857"/>
      <c r="P111" s="857"/>
      <c r="Q111" s="804"/>
      <c r="R111" s="1146"/>
      <c r="S111" s="804"/>
      <c r="T111" s="804"/>
      <c r="U111" s="804"/>
      <c r="V111" s="804"/>
      <c r="W111" s="804"/>
      <c r="X111" s="804"/>
      <c r="Y111" s="804"/>
      <c r="Z111" s="804"/>
      <c r="AA111" s="804"/>
      <c r="AB111" s="804"/>
      <c r="AC111" s="804"/>
      <c r="AD111" s="804"/>
      <c r="AE111" s="804"/>
      <c r="AF111" s="804"/>
      <c r="AG111" s="804"/>
      <c r="AH111" s="804"/>
      <c r="AI111" s="804"/>
      <c r="AJ111" s="804"/>
      <c r="AK111" s="804"/>
      <c r="AL111" s="857"/>
      <c r="AM111" s="857"/>
      <c r="AN111" s="857"/>
      <c r="AO111" s="857"/>
      <c r="AP111" s="857"/>
      <c r="AQ111" s="857"/>
      <c r="AR111" s="857"/>
      <c r="AS111" s="857"/>
      <c r="AT111" s="857"/>
      <c r="AU111" s="857"/>
      <c r="AV111" s="857"/>
      <c r="AW111" s="857"/>
      <c r="AX111" s="857"/>
      <c r="AY111" s="857"/>
      <c r="AZ111" s="857"/>
      <c r="BA111" s="857"/>
      <c r="BB111" s="857"/>
      <c r="BC111" s="857"/>
      <c r="BD111" s="857"/>
      <c r="BE111" s="857"/>
      <c r="BF111" s="857"/>
      <c r="BG111" s="857"/>
      <c r="BH111" s="857"/>
      <c r="BI111" s="857"/>
      <c r="BJ111" s="857"/>
      <c r="BK111" s="857"/>
      <c r="BL111" s="857"/>
      <c r="BM111" s="857"/>
      <c r="BN111" s="857"/>
      <c r="BO111" s="857"/>
      <c r="BP111" s="857"/>
      <c r="BQ111" s="857"/>
      <c r="BR111" s="857"/>
      <c r="BS111" s="857"/>
      <c r="BT111" s="857"/>
      <c r="BU111" s="857"/>
      <c r="BV111" s="857"/>
      <c r="BW111" s="857"/>
      <c r="BX111" s="857"/>
      <c r="BY111" s="857"/>
      <c r="BZ111" s="857"/>
      <c r="CA111" s="857"/>
      <c r="CB111" s="857"/>
      <c r="CC111" s="857"/>
      <c r="CD111" s="857"/>
      <c r="CE111" s="857"/>
      <c r="CF111" s="857"/>
      <c r="CG111" s="857"/>
      <c r="CH111" s="857"/>
      <c r="CI111" s="857"/>
      <c r="CJ111" s="857"/>
      <c r="CK111" s="857"/>
      <c r="CL111" s="857"/>
      <c r="CM111" s="857"/>
      <c r="CN111" s="857"/>
      <c r="CO111" s="857"/>
      <c r="CP111" s="857"/>
      <c r="CQ111" s="857"/>
      <c r="CR111" s="857"/>
      <c r="CS111" s="857"/>
      <c r="CT111" s="857"/>
      <c r="CU111" s="857"/>
      <c r="CV111" s="857"/>
      <c r="CW111" s="857"/>
      <c r="CX111" s="857"/>
      <c r="CY111" s="857"/>
      <c r="CZ111" s="857"/>
      <c r="DA111" s="857"/>
      <c r="DB111" s="857"/>
      <c r="DC111" s="857"/>
      <c r="DD111" s="857"/>
      <c r="DE111" s="857"/>
      <c r="DF111" s="857"/>
      <c r="DG111" s="857"/>
      <c r="DH111" s="857"/>
      <c r="DI111" s="857"/>
      <c r="DJ111" s="857"/>
      <c r="DK111" s="857"/>
      <c r="DL111" s="857"/>
      <c r="DM111" s="857"/>
      <c r="DN111" s="857"/>
      <c r="DO111" s="857"/>
      <c r="DP111" s="857"/>
      <c r="DQ111" s="857"/>
      <c r="DR111" s="857"/>
      <c r="DS111" s="857"/>
      <c r="DT111" s="857"/>
      <c r="DU111" s="857"/>
      <c r="DV111" s="857"/>
      <c r="DW111" s="857"/>
      <c r="DX111" s="857"/>
      <c r="DY111" s="857"/>
      <c r="DZ111" s="857"/>
      <c r="EA111" s="857"/>
      <c r="EB111" s="857"/>
      <c r="EC111" s="857"/>
      <c r="ED111" s="857"/>
      <c r="EE111" s="857"/>
      <c r="EF111" s="857"/>
      <c r="EG111" s="857"/>
      <c r="EH111" s="857"/>
      <c r="EI111" s="857"/>
      <c r="EJ111" s="857"/>
      <c r="EK111" s="857"/>
      <c r="EL111" s="857"/>
      <c r="EM111" s="857"/>
      <c r="EN111" s="857"/>
      <c r="EO111" s="857"/>
      <c r="EP111" s="857"/>
      <c r="EQ111" s="857"/>
      <c r="ER111" s="857"/>
      <c r="ES111" s="857"/>
      <c r="ET111" s="857"/>
    </row>
    <row r="112" spans="1:256" s="508" customFormat="1" ht="13.5" customHeight="1">
      <c r="A112" s="699" t="s">
        <v>292</v>
      </c>
      <c r="B112" s="700" t="s">
        <v>119</v>
      </c>
      <c r="C112" s="34">
        <v>564551114</v>
      </c>
      <c r="D112" s="34" t="s">
        <v>287</v>
      </c>
      <c r="E112" s="34" t="s">
        <v>98</v>
      </c>
      <c r="F112" s="35">
        <f>SUM(F113)</f>
        <v>40.200000000000003</v>
      </c>
      <c r="G112" s="79"/>
      <c r="H112" s="532">
        <f>F112*G112</f>
        <v>0</v>
      </c>
      <c r="I112" s="533" t="s">
        <v>738</v>
      </c>
      <c r="J112" s="791"/>
      <c r="K112" s="452"/>
      <c r="L112" s="452"/>
      <c r="M112" s="452"/>
      <c r="N112" s="452"/>
      <c r="O112" s="452"/>
      <c r="P112" s="461"/>
      <c r="Q112" s="461"/>
      <c r="R112" s="452"/>
      <c r="S112" s="461"/>
      <c r="T112" s="452"/>
      <c r="U112" s="452"/>
      <c r="V112" s="452"/>
      <c r="W112" s="452"/>
      <c r="X112" s="452"/>
      <c r="Y112" s="452"/>
      <c r="Z112" s="452"/>
      <c r="AA112" s="452"/>
      <c r="AB112" s="452"/>
      <c r="AC112" s="452"/>
      <c r="AD112" s="452"/>
      <c r="AE112" s="452"/>
      <c r="AF112" s="452"/>
      <c r="AG112" s="452"/>
      <c r="AH112" s="452"/>
      <c r="AI112" s="452"/>
      <c r="AJ112" s="452"/>
      <c r="AK112" s="452"/>
      <c r="AL112" s="509"/>
      <c r="AM112" s="509"/>
      <c r="AN112" s="509"/>
      <c r="AO112" s="509"/>
      <c r="AP112" s="509"/>
      <c r="AQ112" s="509"/>
      <c r="AR112" s="509"/>
      <c r="AS112" s="509"/>
      <c r="AT112" s="509"/>
      <c r="AU112" s="509"/>
      <c r="AV112" s="509"/>
      <c r="AW112" s="509"/>
      <c r="AX112" s="509"/>
      <c r="AY112" s="509"/>
      <c r="AZ112" s="509"/>
      <c r="BA112" s="509"/>
      <c r="BB112" s="509"/>
      <c r="BC112" s="509"/>
      <c r="BD112" s="509"/>
      <c r="BE112" s="509"/>
      <c r="BF112" s="509"/>
      <c r="BG112" s="509"/>
      <c r="BH112" s="509"/>
      <c r="BI112" s="509"/>
      <c r="BJ112" s="509"/>
      <c r="BK112" s="509"/>
      <c r="BL112" s="509"/>
      <c r="BM112" s="509"/>
      <c r="BN112" s="509"/>
      <c r="BO112" s="509"/>
      <c r="BP112" s="509"/>
      <c r="BQ112" s="509"/>
      <c r="BR112" s="509"/>
      <c r="BS112" s="509"/>
      <c r="BT112" s="509"/>
      <c r="BU112" s="509"/>
      <c r="BV112" s="509"/>
      <c r="BW112" s="509"/>
      <c r="BX112" s="509"/>
      <c r="BY112" s="509"/>
      <c r="BZ112" s="509"/>
      <c r="CA112" s="509"/>
      <c r="CB112" s="509"/>
      <c r="CC112" s="509"/>
      <c r="CD112" s="509"/>
      <c r="CE112" s="509"/>
      <c r="CF112" s="509"/>
      <c r="CG112" s="509"/>
      <c r="CH112" s="509"/>
      <c r="CI112" s="509"/>
      <c r="CJ112" s="509"/>
      <c r="CK112" s="509"/>
      <c r="CL112" s="509"/>
      <c r="CM112" s="509"/>
      <c r="CN112" s="509"/>
      <c r="CO112" s="509"/>
      <c r="CP112" s="509"/>
      <c r="CQ112" s="509"/>
      <c r="CR112" s="509"/>
      <c r="CS112" s="509"/>
      <c r="CT112" s="509"/>
      <c r="CU112" s="509"/>
      <c r="CV112" s="509"/>
      <c r="CW112" s="509"/>
      <c r="CX112" s="509"/>
      <c r="CY112" s="509"/>
      <c r="CZ112" s="509"/>
      <c r="DA112" s="509"/>
      <c r="DB112" s="509"/>
      <c r="DC112" s="509"/>
      <c r="DD112" s="509"/>
      <c r="DE112" s="509"/>
      <c r="DF112" s="509"/>
      <c r="DG112" s="509"/>
      <c r="DH112" s="509"/>
      <c r="DI112" s="509"/>
      <c r="DJ112" s="509"/>
      <c r="DK112" s="509"/>
      <c r="DL112" s="509"/>
      <c r="DM112" s="509"/>
      <c r="DN112" s="509"/>
      <c r="DO112" s="509"/>
      <c r="DP112" s="509"/>
      <c r="DQ112" s="509"/>
      <c r="DR112" s="509"/>
      <c r="DS112" s="509"/>
      <c r="DT112" s="509"/>
      <c r="DU112" s="509"/>
      <c r="DV112" s="509"/>
      <c r="DW112" s="509"/>
      <c r="DX112" s="509"/>
      <c r="DY112" s="509"/>
      <c r="DZ112" s="509"/>
      <c r="EA112" s="509"/>
      <c r="EB112" s="509"/>
      <c r="EC112" s="509"/>
      <c r="ED112" s="509"/>
      <c r="EE112" s="509"/>
      <c r="EF112" s="509"/>
      <c r="EG112" s="509"/>
      <c r="EH112" s="509"/>
      <c r="EI112" s="509"/>
      <c r="EJ112" s="509"/>
      <c r="EK112" s="509"/>
      <c r="EL112" s="509"/>
      <c r="EM112" s="509"/>
      <c r="EN112" s="509"/>
      <c r="EO112" s="509"/>
      <c r="EP112" s="509"/>
      <c r="EQ112" s="509"/>
      <c r="ER112" s="509"/>
      <c r="ES112" s="509"/>
      <c r="ET112" s="509"/>
    </row>
    <row r="113" spans="1:150" s="1168" customFormat="1" ht="27" customHeight="1">
      <c r="A113" s="699"/>
      <c r="B113" s="1166"/>
      <c r="C113" s="34"/>
      <c r="D113" s="36" t="s">
        <v>384</v>
      </c>
      <c r="E113" s="1166"/>
      <c r="F113" s="548">
        <f>(15.75+24.45)</f>
        <v>40.200000000000003</v>
      </c>
      <c r="G113" s="1167"/>
      <c r="H113" s="532"/>
      <c r="I113" s="533"/>
      <c r="J113" s="857"/>
      <c r="K113" s="857"/>
      <c r="L113" s="857"/>
      <c r="M113" s="857"/>
      <c r="N113" s="857"/>
      <c r="O113" s="857"/>
      <c r="P113" s="857"/>
      <c r="Q113" s="804"/>
      <c r="R113" s="1146"/>
      <c r="S113" s="804"/>
      <c r="T113" s="804"/>
      <c r="U113" s="804"/>
      <c r="V113" s="804"/>
      <c r="W113" s="804"/>
      <c r="X113" s="804"/>
      <c r="Y113" s="804"/>
      <c r="Z113" s="804"/>
      <c r="AA113" s="804"/>
      <c r="AB113" s="804"/>
      <c r="AC113" s="804"/>
      <c r="AD113" s="804"/>
      <c r="AE113" s="804"/>
      <c r="AF113" s="804"/>
      <c r="AG113" s="804"/>
      <c r="AH113" s="804"/>
      <c r="AI113" s="804"/>
      <c r="AJ113" s="804"/>
      <c r="AK113" s="804"/>
      <c r="AL113" s="857"/>
      <c r="AM113" s="857"/>
      <c r="AN113" s="857"/>
      <c r="AO113" s="857"/>
      <c r="AP113" s="857"/>
      <c r="AQ113" s="857"/>
      <c r="AR113" s="857"/>
      <c r="AS113" s="857"/>
      <c r="AT113" s="857"/>
      <c r="AU113" s="857"/>
      <c r="AV113" s="857"/>
      <c r="AW113" s="857"/>
      <c r="AX113" s="857"/>
      <c r="AY113" s="857"/>
      <c r="AZ113" s="857"/>
      <c r="BA113" s="857"/>
      <c r="BB113" s="857"/>
      <c r="BC113" s="857"/>
      <c r="BD113" s="857"/>
      <c r="BE113" s="857"/>
      <c r="BF113" s="857"/>
      <c r="BG113" s="857"/>
      <c r="BH113" s="857"/>
      <c r="BI113" s="857"/>
      <c r="BJ113" s="857"/>
      <c r="BK113" s="857"/>
      <c r="BL113" s="857"/>
      <c r="BM113" s="857"/>
      <c r="BN113" s="857"/>
      <c r="BO113" s="857"/>
      <c r="BP113" s="857"/>
      <c r="BQ113" s="857"/>
      <c r="BR113" s="857"/>
      <c r="BS113" s="857"/>
      <c r="BT113" s="857"/>
      <c r="BU113" s="857"/>
      <c r="BV113" s="857"/>
      <c r="BW113" s="857"/>
      <c r="BX113" s="857"/>
      <c r="BY113" s="857"/>
      <c r="BZ113" s="857"/>
      <c r="CA113" s="857"/>
      <c r="CB113" s="857"/>
      <c r="CC113" s="857"/>
      <c r="CD113" s="857"/>
      <c r="CE113" s="857"/>
      <c r="CF113" s="857"/>
      <c r="CG113" s="857"/>
      <c r="CH113" s="857"/>
      <c r="CI113" s="857"/>
      <c r="CJ113" s="857"/>
      <c r="CK113" s="857"/>
      <c r="CL113" s="857"/>
      <c r="CM113" s="857"/>
      <c r="CN113" s="857"/>
      <c r="CO113" s="857"/>
      <c r="CP113" s="857"/>
      <c r="CQ113" s="857"/>
      <c r="CR113" s="857"/>
      <c r="CS113" s="857"/>
      <c r="CT113" s="857"/>
      <c r="CU113" s="857"/>
      <c r="CV113" s="857"/>
      <c r="CW113" s="857"/>
      <c r="CX113" s="857"/>
      <c r="CY113" s="857"/>
      <c r="CZ113" s="857"/>
      <c r="DA113" s="857"/>
      <c r="DB113" s="857"/>
      <c r="DC113" s="857"/>
      <c r="DD113" s="857"/>
      <c r="DE113" s="857"/>
      <c r="DF113" s="857"/>
      <c r="DG113" s="857"/>
      <c r="DH113" s="857"/>
      <c r="DI113" s="857"/>
      <c r="DJ113" s="857"/>
      <c r="DK113" s="857"/>
      <c r="DL113" s="857"/>
      <c r="DM113" s="857"/>
      <c r="DN113" s="857"/>
      <c r="DO113" s="857"/>
      <c r="DP113" s="857"/>
      <c r="DQ113" s="857"/>
      <c r="DR113" s="857"/>
      <c r="DS113" s="857"/>
      <c r="DT113" s="857"/>
      <c r="DU113" s="857"/>
      <c r="DV113" s="857"/>
      <c r="DW113" s="857"/>
      <c r="DX113" s="857"/>
      <c r="DY113" s="857"/>
      <c r="DZ113" s="857"/>
      <c r="EA113" s="857"/>
      <c r="EB113" s="857"/>
      <c r="EC113" s="857"/>
      <c r="ED113" s="857"/>
      <c r="EE113" s="857"/>
      <c r="EF113" s="857"/>
      <c r="EG113" s="857"/>
      <c r="EH113" s="857"/>
      <c r="EI113" s="857"/>
      <c r="EJ113" s="857"/>
      <c r="EK113" s="857"/>
      <c r="EL113" s="857"/>
      <c r="EM113" s="857"/>
      <c r="EN113" s="857"/>
      <c r="EO113" s="857"/>
      <c r="EP113" s="857"/>
      <c r="EQ113" s="857"/>
      <c r="ER113" s="857"/>
      <c r="ES113" s="857"/>
      <c r="ET113" s="857"/>
    </row>
    <row r="114" spans="1:150" s="508" customFormat="1" ht="13.5" customHeight="1">
      <c r="A114" s="699" t="s">
        <v>131</v>
      </c>
      <c r="B114" s="700" t="s">
        <v>119</v>
      </c>
      <c r="C114" s="34">
        <v>564581111</v>
      </c>
      <c r="D114" s="34" t="s">
        <v>193</v>
      </c>
      <c r="E114" s="34" t="s">
        <v>98</v>
      </c>
      <c r="F114" s="35">
        <f>SUM(F115)</f>
        <v>176.3</v>
      </c>
      <c r="G114" s="79"/>
      <c r="H114" s="532">
        <f>F114*G114</f>
        <v>0</v>
      </c>
      <c r="I114" s="533" t="s">
        <v>738</v>
      </c>
      <c r="J114" s="791"/>
      <c r="K114" s="452"/>
      <c r="L114" s="452"/>
      <c r="M114" s="452"/>
      <c r="N114" s="452"/>
      <c r="O114" s="452"/>
      <c r="P114" s="461"/>
      <c r="Q114" s="461"/>
      <c r="R114" s="452"/>
      <c r="S114" s="461"/>
      <c r="T114" s="452"/>
      <c r="U114" s="452"/>
      <c r="V114" s="452"/>
      <c r="W114" s="452"/>
      <c r="X114" s="452"/>
      <c r="Y114" s="452"/>
      <c r="Z114" s="452"/>
      <c r="AA114" s="452"/>
      <c r="AB114" s="452"/>
      <c r="AC114" s="452"/>
      <c r="AD114" s="452"/>
      <c r="AE114" s="452"/>
      <c r="AF114" s="452"/>
      <c r="AG114" s="452"/>
      <c r="AH114" s="452"/>
      <c r="AI114" s="452"/>
      <c r="AJ114" s="452"/>
      <c r="AK114" s="452"/>
      <c r="AL114" s="509"/>
      <c r="AM114" s="509"/>
      <c r="AN114" s="509"/>
      <c r="AO114" s="509"/>
      <c r="AP114" s="509"/>
      <c r="AQ114" s="509"/>
      <c r="AR114" s="509"/>
      <c r="AS114" s="509"/>
      <c r="AT114" s="509"/>
      <c r="AU114" s="509"/>
      <c r="AV114" s="509"/>
      <c r="AW114" s="509"/>
      <c r="AX114" s="509"/>
      <c r="AY114" s="509"/>
      <c r="AZ114" s="509"/>
      <c r="BA114" s="509"/>
      <c r="BB114" s="509"/>
      <c r="BC114" s="509"/>
      <c r="BD114" s="509"/>
      <c r="BE114" s="509"/>
      <c r="BF114" s="509"/>
      <c r="BG114" s="509"/>
      <c r="BH114" s="509"/>
      <c r="BI114" s="509"/>
      <c r="BJ114" s="509"/>
      <c r="BK114" s="509"/>
      <c r="BL114" s="509"/>
      <c r="BM114" s="509"/>
      <c r="BN114" s="509"/>
      <c r="BO114" s="509"/>
      <c r="BP114" s="509"/>
      <c r="BQ114" s="509"/>
      <c r="BR114" s="509"/>
      <c r="BS114" s="509"/>
      <c r="BT114" s="509"/>
      <c r="BU114" s="509"/>
      <c r="BV114" s="509"/>
      <c r="BW114" s="509"/>
      <c r="BX114" s="509"/>
      <c r="BY114" s="509"/>
      <c r="BZ114" s="509"/>
      <c r="CA114" s="509"/>
      <c r="CB114" s="509"/>
      <c r="CC114" s="509"/>
      <c r="CD114" s="509"/>
      <c r="CE114" s="509"/>
      <c r="CF114" s="509"/>
      <c r="CG114" s="509"/>
      <c r="CH114" s="509"/>
      <c r="CI114" s="509"/>
      <c r="CJ114" s="509"/>
      <c r="CK114" s="509"/>
      <c r="CL114" s="509"/>
      <c r="CM114" s="509"/>
      <c r="CN114" s="509"/>
      <c r="CO114" s="509"/>
      <c r="CP114" s="509"/>
      <c r="CQ114" s="509"/>
      <c r="CR114" s="509"/>
      <c r="CS114" s="509"/>
      <c r="CT114" s="509"/>
      <c r="CU114" s="509"/>
      <c r="CV114" s="509"/>
      <c r="CW114" s="509"/>
      <c r="CX114" s="509"/>
      <c r="CY114" s="509"/>
      <c r="CZ114" s="509"/>
      <c r="DA114" s="509"/>
      <c r="DB114" s="509"/>
      <c r="DC114" s="509"/>
      <c r="DD114" s="509"/>
      <c r="DE114" s="509"/>
      <c r="DF114" s="509"/>
      <c r="DG114" s="509"/>
      <c r="DH114" s="509"/>
      <c r="DI114" s="509"/>
      <c r="DJ114" s="509"/>
      <c r="DK114" s="509"/>
      <c r="DL114" s="509"/>
      <c r="DM114" s="509"/>
      <c r="DN114" s="509"/>
      <c r="DO114" s="509"/>
      <c r="DP114" s="509"/>
      <c r="DQ114" s="509"/>
      <c r="DR114" s="509"/>
      <c r="DS114" s="509"/>
      <c r="DT114" s="509"/>
      <c r="DU114" s="509"/>
      <c r="DV114" s="509"/>
      <c r="DW114" s="509"/>
      <c r="DX114" s="509"/>
      <c r="DY114" s="509"/>
      <c r="DZ114" s="509"/>
      <c r="EA114" s="509"/>
      <c r="EB114" s="509"/>
      <c r="EC114" s="509"/>
      <c r="ED114" s="509"/>
      <c r="EE114" s="509"/>
      <c r="EF114" s="509"/>
      <c r="EG114" s="509"/>
      <c r="EH114" s="509"/>
      <c r="EI114" s="509"/>
      <c r="EJ114" s="509"/>
      <c r="EK114" s="509"/>
      <c r="EL114" s="509"/>
      <c r="EM114" s="509"/>
      <c r="EN114" s="509"/>
      <c r="EO114" s="509"/>
      <c r="EP114" s="509"/>
      <c r="EQ114" s="509"/>
      <c r="ER114" s="509"/>
      <c r="ES114" s="509"/>
      <c r="ET114" s="509"/>
    </row>
    <row r="115" spans="1:150" s="1168" customFormat="1" ht="27" customHeight="1">
      <c r="A115" s="699"/>
      <c r="B115" s="1166"/>
      <c r="C115" s="34"/>
      <c r="D115" s="36" t="s">
        <v>386</v>
      </c>
      <c r="E115" s="1166"/>
      <c r="F115" s="548">
        <f>(176.3)</f>
        <v>176.3</v>
      </c>
      <c r="G115" s="1167"/>
      <c r="H115" s="532"/>
      <c r="I115" s="533"/>
      <c r="J115" s="857"/>
      <c r="K115" s="857"/>
      <c r="L115" s="857"/>
      <c r="M115" s="857"/>
      <c r="N115" s="857"/>
      <c r="O115" s="857"/>
      <c r="P115" s="857"/>
      <c r="Q115" s="804"/>
      <c r="R115" s="1146"/>
      <c r="S115" s="804"/>
      <c r="T115" s="804"/>
      <c r="U115" s="804"/>
      <c r="V115" s="804"/>
      <c r="W115" s="804"/>
      <c r="X115" s="804"/>
      <c r="Y115" s="804"/>
      <c r="Z115" s="804"/>
      <c r="AA115" s="804"/>
      <c r="AB115" s="804"/>
      <c r="AC115" s="804"/>
      <c r="AD115" s="804"/>
      <c r="AE115" s="804"/>
      <c r="AF115" s="804"/>
      <c r="AG115" s="804"/>
      <c r="AH115" s="804"/>
      <c r="AI115" s="804"/>
      <c r="AJ115" s="804"/>
      <c r="AK115" s="804"/>
      <c r="AL115" s="857"/>
      <c r="AM115" s="857"/>
      <c r="AN115" s="857"/>
      <c r="AO115" s="857"/>
      <c r="AP115" s="857"/>
      <c r="AQ115" s="857"/>
      <c r="AR115" s="857"/>
      <c r="AS115" s="857"/>
      <c r="AT115" s="857"/>
      <c r="AU115" s="857"/>
      <c r="AV115" s="857"/>
      <c r="AW115" s="857"/>
      <c r="AX115" s="857"/>
      <c r="AY115" s="857"/>
      <c r="AZ115" s="857"/>
      <c r="BA115" s="857"/>
      <c r="BB115" s="857"/>
      <c r="BC115" s="857"/>
      <c r="BD115" s="857"/>
      <c r="BE115" s="857"/>
      <c r="BF115" s="857"/>
      <c r="BG115" s="857"/>
      <c r="BH115" s="857"/>
      <c r="BI115" s="857"/>
      <c r="BJ115" s="857"/>
      <c r="BK115" s="857"/>
      <c r="BL115" s="857"/>
      <c r="BM115" s="857"/>
      <c r="BN115" s="857"/>
      <c r="BO115" s="857"/>
      <c r="BP115" s="857"/>
      <c r="BQ115" s="857"/>
      <c r="BR115" s="857"/>
      <c r="BS115" s="857"/>
      <c r="BT115" s="857"/>
      <c r="BU115" s="857"/>
      <c r="BV115" s="857"/>
      <c r="BW115" s="857"/>
      <c r="BX115" s="857"/>
      <c r="BY115" s="857"/>
      <c r="BZ115" s="857"/>
      <c r="CA115" s="857"/>
      <c r="CB115" s="857"/>
      <c r="CC115" s="857"/>
      <c r="CD115" s="857"/>
      <c r="CE115" s="857"/>
      <c r="CF115" s="857"/>
      <c r="CG115" s="857"/>
      <c r="CH115" s="857"/>
      <c r="CI115" s="857"/>
      <c r="CJ115" s="857"/>
      <c r="CK115" s="857"/>
      <c r="CL115" s="857"/>
      <c r="CM115" s="857"/>
      <c r="CN115" s="857"/>
      <c r="CO115" s="857"/>
      <c r="CP115" s="857"/>
      <c r="CQ115" s="857"/>
      <c r="CR115" s="857"/>
      <c r="CS115" s="857"/>
      <c r="CT115" s="857"/>
      <c r="CU115" s="857"/>
      <c r="CV115" s="857"/>
      <c r="CW115" s="857"/>
      <c r="CX115" s="857"/>
      <c r="CY115" s="857"/>
      <c r="CZ115" s="857"/>
      <c r="DA115" s="857"/>
      <c r="DB115" s="857"/>
      <c r="DC115" s="857"/>
      <c r="DD115" s="857"/>
      <c r="DE115" s="857"/>
      <c r="DF115" s="857"/>
      <c r="DG115" s="857"/>
      <c r="DH115" s="857"/>
      <c r="DI115" s="857"/>
      <c r="DJ115" s="857"/>
      <c r="DK115" s="857"/>
      <c r="DL115" s="857"/>
      <c r="DM115" s="857"/>
      <c r="DN115" s="857"/>
      <c r="DO115" s="857"/>
      <c r="DP115" s="857"/>
      <c r="DQ115" s="857"/>
      <c r="DR115" s="857"/>
      <c r="DS115" s="857"/>
      <c r="DT115" s="857"/>
      <c r="DU115" s="857"/>
      <c r="DV115" s="857"/>
      <c r="DW115" s="857"/>
      <c r="DX115" s="857"/>
      <c r="DY115" s="857"/>
      <c r="DZ115" s="857"/>
      <c r="EA115" s="857"/>
      <c r="EB115" s="857"/>
      <c r="EC115" s="857"/>
      <c r="ED115" s="857"/>
      <c r="EE115" s="857"/>
      <c r="EF115" s="857"/>
      <c r="EG115" s="857"/>
      <c r="EH115" s="857"/>
      <c r="EI115" s="857"/>
      <c r="EJ115" s="857"/>
      <c r="EK115" s="857"/>
      <c r="EL115" s="857"/>
      <c r="EM115" s="857"/>
      <c r="EN115" s="857"/>
      <c r="EO115" s="857"/>
      <c r="EP115" s="857"/>
      <c r="EQ115" s="857"/>
      <c r="ER115" s="857"/>
      <c r="ES115" s="857"/>
      <c r="ET115" s="857"/>
    </row>
    <row r="116" spans="1:150" s="508" customFormat="1" ht="13.5" customHeight="1">
      <c r="A116" s="1170" t="s">
        <v>132</v>
      </c>
      <c r="B116" s="837" t="s">
        <v>123</v>
      </c>
      <c r="C116" s="37">
        <v>10364100</v>
      </c>
      <c r="D116" s="37" t="s">
        <v>124</v>
      </c>
      <c r="E116" s="37" t="s">
        <v>125</v>
      </c>
      <c r="F116" s="38">
        <f>SUM(F117:F118)</f>
        <v>158.78850000000003</v>
      </c>
      <c r="G116" s="80"/>
      <c r="H116" s="840">
        <f>F116*G116</f>
        <v>0</v>
      </c>
      <c r="I116" s="841" t="s">
        <v>738</v>
      </c>
      <c r="J116" s="791"/>
      <c r="K116" s="452"/>
      <c r="L116" s="452"/>
      <c r="M116" s="452"/>
      <c r="N116" s="452"/>
      <c r="O116" s="452"/>
      <c r="P116" s="452"/>
      <c r="Q116" s="452"/>
      <c r="R116" s="452"/>
      <c r="S116" s="461"/>
      <c r="T116" s="452"/>
      <c r="U116" s="452"/>
      <c r="V116" s="452"/>
      <c r="W116" s="452"/>
      <c r="X116" s="452"/>
      <c r="Y116" s="452"/>
      <c r="Z116" s="452"/>
      <c r="AA116" s="452"/>
      <c r="AB116" s="452"/>
      <c r="AC116" s="452"/>
      <c r="AD116" s="452"/>
      <c r="AE116" s="452"/>
      <c r="AF116" s="452"/>
      <c r="AG116" s="452"/>
      <c r="AH116" s="452"/>
      <c r="AI116" s="452"/>
      <c r="AJ116" s="452"/>
      <c r="AK116" s="452"/>
      <c r="AL116" s="509"/>
      <c r="AM116" s="509"/>
      <c r="AN116" s="509"/>
      <c r="AO116" s="509"/>
      <c r="AP116" s="509"/>
      <c r="AQ116" s="509"/>
      <c r="AR116" s="509"/>
      <c r="AS116" s="509"/>
      <c r="AT116" s="509"/>
      <c r="AU116" s="509"/>
      <c r="AV116" s="509"/>
      <c r="AW116" s="509"/>
      <c r="AX116" s="509"/>
      <c r="AY116" s="509"/>
      <c r="AZ116" s="509"/>
      <c r="BA116" s="509"/>
      <c r="BB116" s="509"/>
      <c r="BC116" s="509"/>
      <c r="BD116" s="509"/>
      <c r="BE116" s="509"/>
      <c r="BF116" s="509"/>
      <c r="BG116" s="509"/>
      <c r="BH116" s="509"/>
      <c r="BI116" s="509"/>
      <c r="BJ116" s="509"/>
      <c r="BK116" s="509"/>
      <c r="BL116" s="509"/>
      <c r="BM116" s="509"/>
      <c r="BN116" s="509"/>
      <c r="BO116" s="509"/>
      <c r="BP116" s="509"/>
      <c r="BQ116" s="509"/>
      <c r="BR116" s="509"/>
      <c r="BS116" s="509"/>
      <c r="BT116" s="509"/>
      <c r="BU116" s="509"/>
      <c r="BV116" s="509"/>
      <c r="BW116" s="509"/>
      <c r="BX116" s="509"/>
      <c r="BY116" s="509"/>
      <c r="BZ116" s="509"/>
      <c r="CA116" s="509"/>
      <c r="CB116" s="509"/>
      <c r="CC116" s="509"/>
      <c r="CD116" s="509"/>
      <c r="CE116" s="509"/>
      <c r="CF116" s="509"/>
      <c r="CG116" s="509"/>
      <c r="CH116" s="509"/>
      <c r="CI116" s="509"/>
      <c r="CJ116" s="509"/>
      <c r="CK116" s="509"/>
      <c r="CL116" s="509"/>
      <c r="CM116" s="509"/>
      <c r="CN116" s="509"/>
      <c r="CO116" s="509"/>
      <c r="CP116" s="509"/>
      <c r="CQ116" s="509"/>
      <c r="CR116" s="509"/>
      <c r="CS116" s="509"/>
      <c r="CT116" s="509"/>
      <c r="CU116" s="509"/>
      <c r="CV116" s="509"/>
      <c r="CW116" s="509"/>
      <c r="CX116" s="509"/>
      <c r="CY116" s="509"/>
      <c r="CZ116" s="509"/>
      <c r="DA116" s="509"/>
      <c r="DB116" s="509"/>
      <c r="DC116" s="509"/>
      <c r="DD116" s="509"/>
      <c r="DE116" s="509"/>
      <c r="DF116" s="509"/>
      <c r="DG116" s="509"/>
      <c r="DH116" s="509"/>
      <c r="DI116" s="509"/>
      <c r="DJ116" s="509"/>
      <c r="DK116" s="509"/>
      <c r="DL116" s="509"/>
      <c r="DM116" s="509"/>
      <c r="DN116" s="509"/>
      <c r="DO116" s="509"/>
      <c r="DP116" s="509"/>
      <c r="DQ116" s="509"/>
      <c r="DR116" s="509"/>
      <c r="DS116" s="509"/>
      <c r="DT116" s="509"/>
      <c r="DU116" s="509"/>
      <c r="DV116" s="509"/>
      <c r="DW116" s="509"/>
      <c r="DX116" s="509"/>
      <c r="DY116" s="509"/>
      <c r="DZ116" s="509"/>
      <c r="EA116" s="509"/>
      <c r="EB116" s="509"/>
      <c r="EC116" s="509"/>
      <c r="ED116" s="509"/>
      <c r="EE116" s="509"/>
      <c r="EF116" s="509"/>
      <c r="EG116" s="509"/>
      <c r="EH116" s="509"/>
      <c r="EI116" s="509"/>
      <c r="EJ116" s="509"/>
      <c r="EK116" s="509"/>
      <c r="EL116" s="509"/>
      <c r="EM116" s="509"/>
      <c r="EN116" s="509"/>
      <c r="EO116" s="509"/>
      <c r="EP116" s="509"/>
      <c r="EQ116" s="509"/>
      <c r="ER116" s="509"/>
      <c r="ES116" s="509"/>
      <c r="ET116" s="509"/>
    </row>
    <row r="117" spans="1:150" s="1168" customFormat="1" ht="13.5" customHeight="1">
      <c r="A117" s="1170"/>
      <c r="B117" s="1171"/>
      <c r="C117" s="37"/>
      <c r="D117" s="39" t="s">
        <v>387</v>
      </c>
      <c r="E117" s="1171"/>
      <c r="F117" s="844">
        <f>(176.3*0.45)*1.7</f>
        <v>134.86950000000002</v>
      </c>
      <c r="G117" s="1172"/>
      <c r="H117" s="840"/>
      <c r="I117" s="841"/>
      <c r="J117" s="1173"/>
      <c r="K117" s="804"/>
      <c r="L117" s="804"/>
      <c r="M117" s="804"/>
      <c r="N117" s="804"/>
      <c r="O117" s="804"/>
      <c r="P117" s="804"/>
      <c r="Q117" s="804"/>
      <c r="R117" s="804"/>
      <c r="S117" s="804"/>
      <c r="T117" s="804"/>
      <c r="U117" s="804"/>
      <c r="V117" s="804"/>
      <c r="W117" s="804"/>
      <c r="X117" s="804"/>
      <c r="Y117" s="804"/>
      <c r="Z117" s="804"/>
      <c r="AA117" s="804"/>
      <c r="AB117" s="804"/>
      <c r="AC117" s="804"/>
      <c r="AD117" s="804"/>
      <c r="AE117" s="804"/>
      <c r="AF117" s="804"/>
      <c r="AG117" s="804"/>
      <c r="AH117" s="804"/>
      <c r="AI117" s="804"/>
      <c r="AJ117" s="804"/>
      <c r="AK117" s="804"/>
      <c r="AL117" s="857"/>
      <c r="AM117" s="857"/>
      <c r="AN117" s="857"/>
      <c r="AO117" s="857"/>
      <c r="AP117" s="857"/>
      <c r="AQ117" s="857"/>
      <c r="AR117" s="857"/>
      <c r="AS117" s="857"/>
      <c r="AT117" s="857"/>
      <c r="AU117" s="857"/>
      <c r="AV117" s="857"/>
      <c r="AW117" s="857"/>
      <c r="AX117" s="857"/>
      <c r="AY117" s="857"/>
      <c r="AZ117" s="857"/>
      <c r="BA117" s="857"/>
      <c r="BB117" s="857"/>
      <c r="BC117" s="857"/>
      <c r="BD117" s="857"/>
      <c r="BE117" s="857"/>
      <c r="BF117" s="857"/>
      <c r="BG117" s="857"/>
      <c r="BH117" s="857"/>
      <c r="BI117" s="857"/>
      <c r="BJ117" s="857"/>
      <c r="BK117" s="857"/>
      <c r="BL117" s="857"/>
      <c r="BM117" s="857"/>
      <c r="BN117" s="857"/>
      <c r="BO117" s="857"/>
      <c r="BP117" s="857"/>
      <c r="BQ117" s="857"/>
      <c r="BR117" s="857"/>
      <c r="BS117" s="857"/>
      <c r="BT117" s="857"/>
      <c r="BU117" s="857"/>
      <c r="BV117" s="857"/>
      <c r="BW117" s="857"/>
      <c r="BX117" s="857"/>
      <c r="BY117" s="857"/>
      <c r="BZ117" s="857"/>
      <c r="CA117" s="857"/>
      <c r="CB117" s="857"/>
      <c r="CC117" s="857"/>
      <c r="CD117" s="857"/>
      <c r="CE117" s="857"/>
      <c r="CF117" s="857"/>
      <c r="CG117" s="857"/>
      <c r="CH117" s="857"/>
      <c r="CI117" s="857"/>
      <c r="CJ117" s="857"/>
      <c r="CK117" s="857"/>
      <c r="CL117" s="857"/>
      <c r="CM117" s="857"/>
      <c r="CN117" s="857"/>
      <c r="CO117" s="857"/>
      <c r="CP117" s="857"/>
      <c r="CQ117" s="857"/>
      <c r="CR117" s="857"/>
      <c r="CS117" s="857"/>
      <c r="CT117" s="857"/>
      <c r="CU117" s="857"/>
      <c r="CV117" s="857"/>
      <c r="CW117" s="857"/>
      <c r="CX117" s="857"/>
      <c r="CY117" s="857"/>
      <c r="CZ117" s="857"/>
      <c r="DA117" s="857"/>
      <c r="DB117" s="857"/>
      <c r="DC117" s="857"/>
      <c r="DD117" s="857"/>
      <c r="DE117" s="857"/>
      <c r="DF117" s="857"/>
      <c r="DG117" s="857"/>
      <c r="DH117" s="857"/>
      <c r="DI117" s="857"/>
      <c r="DJ117" s="857"/>
      <c r="DK117" s="857"/>
      <c r="DL117" s="857"/>
      <c r="DM117" s="857"/>
      <c r="DN117" s="857"/>
      <c r="DO117" s="857"/>
      <c r="DP117" s="857"/>
      <c r="DQ117" s="857"/>
      <c r="DR117" s="857"/>
      <c r="DS117" s="857"/>
      <c r="DT117" s="857"/>
      <c r="DU117" s="857"/>
      <c r="DV117" s="857"/>
      <c r="DW117" s="857"/>
      <c r="DX117" s="857"/>
      <c r="DY117" s="857"/>
      <c r="DZ117" s="857"/>
      <c r="EA117" s="857"/>
      <c r="EB117" s="857"/>
      <c r="EC117" s="857"/>
      <c r="ED117" s="857"/>
      <c r="EE117" s="857"/>
      <c r="EF117" s="857"/>
      <c r="EG117" s="857"/>
      <c r="EH117" s="857"/>
      <c r="EI117" s="857"/>
      <c r="EJ117" s="857"/>
      <c r="EK117" s="857"/>
      <c r="EL117" s="857"/>
      <c r="EM117" s="857"/>
      <c r="EN117" s="857"/>
      <c r="EO117" s="857"/>
      <c r="EP117" s="857"/>
      <c r="EQ117" s="857"/>
      <c r="ER117" s="857"/>
      <c r="ES117" s="857"/>
      <c r="ET117" s="857"/>
    </row>
    <row r="118" spans="1:150" s="1168" customFormat="1" ht="13.5" customHeight="1">
      <c r="A118" s="1170"/>
      <c r="B118" s="1171"/>
      <c r="C118" s="37"/>
      <c r="D118" s="39" t="s">
        <v>388</v>
      </c>
      <c r="E118" s="1171"/>
      <c r="F118" s="844">
        <f>((15.75+24.45)*0.35)*1.7</f>
        <v>23.919</v>
      </c>
      <c r="G118" s="1172"/>
      <c r="H118" s="840"/>
      <c r="I118" s="841"/>
      <c r="J118" s="1173"/>
      <c r="K118" s="804"/>
      <c r="L118" s="804"/>
      <c r="M118" s="804"/>
      <c r="N118" s="804"/>
      <c r="O118" s="804"/>
      <c r="P118" s="804"/>
      <c r="Q118" s="804"/>
      <c r="R118" s="804"/>
      <c r="S118" s="804"/>
      <c r="T118" s="804"/>
      <c r="U118" s="804"/>
      <c r="V118" s="804"/>
      <c r="W118" s="804"/>
      <c r="X118" s="804"/>
      <c r="Y118" s="804"/>
      <c r="Z118" s="804"/>
      <c r="AA118" s="804"/>
      <c r="AB118" s="804"/>
      <c r="AC118" s="804"/>
      <c r="AD118" s="804"/>
      <c r="AE118" s="804"/>
      <c r="AF118" s="804"/>
      <c r="AG118" s="804"/>
      <c r="AH118" s="804"/>
      <c r="AI118" s="804"/>
      <c r="AJ118" s="804"/>
      <c r="AK118" s="804"/>
      <c r="AL118" s="857"/>
      <c r="AM118" s="857"/>
      <c r="AN118" s="857"/>
      <c r="AO118" s="857"/>
      <c r="AP118" s="857"/>
      <c r="AQ118" s="857"/>
      <c r="AR118" s="857"/>
      <c r="AS118" s="857"/>
      <c r="AT118" s="857"/>
      <c r="AU118" s="857"/>
      <c r="AV118" s="857"/>
      <c r="AW118" s="857"/>
      <c r="AX118" s="857"/>
      <c r="AY118" s="857"/>
      <c r="AZ118" s="857"/>
      <c r="BA118" s="857"/>
      <c r="BB118" s="857"/>
      <c r="BC118" s="857"/>
      <c r="BD118" s="857"/>
      <c r="BE118" s="857"/>
      <c r="BF118" s="857"/>
      <c r="BG118" s="857"/>
      <c r="BH118" s="857"/>
      <c r="BI118" s="857"/>
      <c r="BJ118" s="857"/>
      <c r="BK118" s="857"/>
      <c r="BL118" s="857"/>
      <c r="BM118" s="857"/>
      <c r="BN118" s="857"/>
      <c r="BO118" s="857"/>
      <c r="BP118" s="857"/>
      <c r="BQ118" s="857"/>
      <c r="BR118" s="857"/>
      <c r="BS118" s="857"/>
      <c r="BT118" s="857"/>
      <c r="BU118" s="857"/>
      <c r="BV118" s="857"/>
      <c r="BW118" s="857"/>
      <c r="BX118" s="857"/>
      <c r="BY118" s="857"/>
      <c r="BZ118" s="857"/>
      <c r="CA118" s="857"/>
      <c r="CB118" s="857"/>
      <c r="CC118" s="857"/>
      <c r="CD118" s="857"/>
      <c r="CE118" s="857"/>
      <c r="CF118" s="857"/>
      <c r="CG118" s="857"/>
      <c r="CH118" s="857"/>
      <c r="CI118" s="857"/>
      <c r="CJ118" s="857"/>
      <c r="CK118" s="857"/>
      <c r="CL118" s="857"/>
      <c r="CM118" s="857"/>
      <c r="CN118" s="857"/>
      <c r="CO118" s="857"/>
      <c r="CP118" s="857"/>
      <c r="CQ118" s="857"/>
      <c r="CR118" s="857"/>
      <c r="CS118" s="857"/>
      <c r="CT118" s="857"/>
      <c r="CU118" s="857"/>
      <c r="CV118" s="857"/>
      <c r="CW118" s="857"/>
      <c r="CX118" s="857"/>
      <c r="CY118" s="857"/>
      <c r="CZ118" s="857"/>
      <c r="DA118" s="857"/>
      <c r="DB118" s="857"/>
      <c r="DC118" s="857"/>
      <c r="DD118" s="857"/>
      <c r="DE118" s="857"/>
      <c r="DF118" s="857"/>
      <c r="DG118" s="857"/>
      <c r="DH118" s="857"/>
      <c r="DI118" s="857"/>
      <c r="DJ118" s="857"/>
      <c r="DK118" s="857"/>
      <c r="DL118" s="857"/>
      <c r="DM118" s="857"/>
      <c r="DN118" s="857"/>
      <c r="DO118" s="857"/>
      <c r="DP118" s="857"/>
      <c r="DQ118" s="857"/>
      <c r="DR118" s="857"/>
      <c r="DS118" s="857"/>
      <c r="DT118" s="857"/>
      <c r="DU118" s="857"/>
      <c r="DV118" s="857"/>
      <c r="DW118" s="857"/>
      <c r="DX118" s="857"/>
      <c r="DY118" s="857"/>
      <c r="DZ118" s="857"/>
      <c r="EA118" s="857"/>
      <c r="EB118" s="857"/>
      <c r="EC118" s="857"/>
      <c r="ED118" s="857"/>
      <c r="EE118" s="857"/>
      <c r="EF118" s="857"/>
      <c r="EG118" s="857"/>
      <c r="EH118" s="857"/>
      <c r="EI118" s="857"/>
      <c r="EJ118" s="857"/>
      <c r="EK118" s="857"/>
      <c r="EL118" s="857"/>
      <c r="EM118" s="857"/>
      <c r="EN118" s="857"/>
      <c r="EO118" s="857"/>
      <c r="EP118" s="857"/>
      <c r="EQ118" s="857"/>
      <c r="ER118" s="857"/>
      <c r="ES118" s="857"/>
      <c r="ET118" s="857"/>
    </row>
    <row r="119" spans="1:150" s="508" customFormat="1" ht="13.5" customHeight="1">
      <c r="A119" s="699" t="s">
        <v>763</v>
      </c>
      <c r="B119" s="700" t="s">
        <v>119</v>
      </c>
      <c r="C119" s="34">
        <v>564871111</v>
      </c>
      <c r="D119" s="34" t="s">
        <v>568</v>
      </c>
      <c r="E119" s="34" t="s">
        <v>98</v>
      </c>
      <c r="F119" s="35">
        <f>SUM(F120)</f>
        <v>49</v>
      </c>
      <c r="G119" s="79"/>
      <c r="H119" s="532">
        <f>F119*G119</f>
        <v>0</v>
      </c>
      <c r="I119" s="533" t="s">
        <v>738</v>
      </c>
      <c r="J119" s="1162"/>
      <c r="K119" s="452"/>
      <c r="L119" s="452"/>
      <c r="M119" s="452"/>
      <c r="N119" s="452"/>
      <c r="O119" s="452"/>
      <c r="P119" s="461"/>
      <c r="Q119" s="461"/>
      <c r="R119" s="452"/>
      <c r="S119" s="461"/>
      <c r="T119" s="452"/>
      <c r="U119" s="452"/>
      <c r="V119" s="452"/>
      <c r="W119" s="452"/>
      <c r="X119" s="452"/>
      <c r="Y119" s="452"/>
      <c r="Z119" s="452"/>
      <c r="AA119" s="452"/>
      <c r="AB119" s="452"/>
      <c r="AC119" s="452"/>
      <c r="AD119" s="452"/>
      <c r="AE119" s="452"/>
      <c r="AF119" s="452"/>
      <c r="AG119" s="452"/>
      <c r="AH119" s="452"/>
      <c r="AI119" s="452"/>
      <c r="AJ119" s="452"/>
      <c r="AK119" s="452"/>
      <c r="AL119" s="509"/>
      <c r="AM119" s="509"/>
      <c r="AN119" s="509"/>
      <c r="AO119" s="509"/>
      <c r="AP119" s="509"/>
      <c r="AQ119" s="509"/>
      <c r="AR119" s="509"/>
      <c r="AS119" s="509"/>
      <c r="AT119" s="509"/>
      <c r="AU119" s="509"/>
      <c r="AV119" s="509"/>
      <c r="AW119" s="509"/>
      <c r="AX119" s="509"/>
      <c r="AY119" s="509"/>
      <c r="AZ119" s="509"/>
      <c r="BA119" s="509"/>
      <c r="BB119" s="509"/>
      <c r="BC119" s="509"/>
      <c r="BD119" s="509"/>
      <c r="BE119" s="509"/>
      <c r="BF119" s="509"/>
      <c r="BG119" s="509"/>
      <c r="BH119" s="509"/>
      <c r="BI119" s="509"/>
      <c r="BJ119" s="509"/>
      <c r="BK119" s="509"/>
      <c r="BL119" s="509"/>
      <c r="BM119" s="509"/>
      <c r="BN119" s="509"/>
      <c r="BO119" s="509"/>
      <c r="BP119" s="509"/>
      <c r="BQ119" s="509"/>
      <c r="BR119" s="509"/>
      <c r="BS119" s="509"/>
      <c r="BT119" s="509"/>
      <c r="BU119" s="509"/>
      <c r="BV119" s="509"/>
      <c r="BW119" s="509"/>
      <c r="BX119" s="509"/>
      <c r="BY119" s="509"/>
      <c r="BZ119" s="509"/>
      <c r="CA119" s="509"/>
      <c r="CB119" s="509"/>
      <c r="CC119" s="509"/>
      <c r="CD119" s="509"/>
      <c r="CE119" s="509"/>
      <c r="CF119" s="509"/>
      <c r="CG119" s="509"/>
      <c r="CH119" s="509"/>
      <c r="CI119" s="509"/>
      <c r="CJ119" s="509"/>
      <c r="CK119" s="509"/>
      <c r="CL119" s="509"/>
      <c r="CM119" s="509"/>
      <c r="CN119" s="509"/>
      <c r="CO119" s="509"/>
      <c r="CP119" s="509"/>
      <c r="CQ119" s="509"/>
      <c r="CR119" s="509"/>
      <c r="CS119" s="509"/>
      <c r="CT119" s="509"/>
      <c r="CU119" s="509"/>
      <c r="CV119" s="509"/>
      <c r="CW119" s="509"/>
      <c r="CX119" s="509"/>
      <c r="CY119" s="509"/>
      <c r="CZ119" s="509"/>
      <c r="DA119" s="509"/>
      <c r="DB119" s="509"/>
      <c r="DC119" s="509"/>
      <c r="DD119" s="509"/>
      <c r="DE119" s="509"/>
      <c r="DF119" s="509"/>
      <c r="DG119" s="509"/>
      <c r="DH119" s="509"/>
      <c r="DI119" s="509"/>
      <c r="DJ119" s="509"/>
      <c r="DK119" s="509"/>
      <c r="DL119" s="509"/>
      <c r="DM119" s="509"/>
      <c r="DN119" s="509"/>
      <c r="DO119" s="509"/>
      <c r="DP119" s="509"/>
      <c r="DQ119" s="509"/>
      <c r="DR119" s="509"/>
      <c r="DS119" s="509"/>
      <c r="DT119" s="509"/>
      <c r="DU119" s="509"/>
      <c r="DV119" s="509"/>
      <c r="DW119" s="509"/>
      <c r="DX119" s="509"/>
      <c r="DY119" s="509"/>
      <c r="DZ119" s="509"/>
      <c r="EA119" s="509"/>
      <c r="EB119" s="509"/>
      <c r="EC119" s="509"/>
      <c r="ED119" s="509"/>
      <c r="EE119" s="509"/>
      <c r="EF119" s="509"/>
      <c r="EG119" s="509"/>
      <c r="EH119" s="509"/>
      <c r="EI119" s="509"/>
      <c r="EJ119" s="509"/>
      <c r="EK119" s="509"/>
      <c r="EL119" s="509"/>
      <c r="EM119" s="509"/>
      <c r="EN119" s="509"/>
      <c r="EO119" s="509"/>
      <c r="EP119" s="509"/>
      <c r="EQ119" s="509"/>
      <c r="ER119" s="509"/>
      <c r="ES119" s="509"/>
      <c r="ET119" s="509"/>
    </row>
    <row r="120" spans="1:150" s="1168" customFormat="1" ht="13.5" customHeight="1">
      <c r="A120" s="699"/>
      <c r="B120" s="1166"/>
      <c r="C120" s="34"/>
      <c r="D120" s="36" t="s">
        <v>747</v>
      </c>
      <c r="E120" s="1166"/>
      <c r="F120" s="548">
        <f>(6+0.5*2)*(6+0.5*2)</f>
        <v>49</v>
      </c>
      <c r="G120" s="1167"/>
      <c r="H120" s="532"/>
      <c r="I120" s="533"/>
      <c r="J120" s="857"/>
      <c r="K120" s="857"/>
      <c r="L120" s="857"/>
      <c r="M120" s="857"/>
      <c r="N120" s="857"/>
      <c r="O120" s="857"/>
      <c r="P120" s="857"/>
      <c r="Q120" s="804"/>
      <c r="R120" s="1146"/>
      <c r="S120" s="804"/>
      <c r="T120" s="804"/>
      <c r="U120" s="804"/>
      <c r="V120" s="804"/>
      <c r="W120" s="804"/>
      <c r="X120" s="804"/>
      <c r="Y120" s="804"/>
      <c r="Z120" s="804"/>
      <c r="AA120" s="804"/>
      <c r="AB120" s="804"/>
      <c r="AC120" s="804"/>
      <c r="AD120" s="804"/>
      <c r="AE120" s="804"/>
      <c r="AF120" s="804"/>
      <c r="AG120" s="804"/>
      <c r="AH120" s="804"/>
      <c r="AI120" s="804"/>
      <c r="AJ120" s="804"/>
      <c r="AK120" s="804"/>
      <c r="AL120" s="857"/>
      <c r="AM120" s="857"/>
      <c r="AN120" s="857"/>
      <c r="AO120" s="857"/>
      <c r="AP120" s="857"/>
      <c r="AQ120" s="857"/>
      <c r="AR120" s="857"/>
      <c r="AS120" s="857"/>
      <c r="AT120" s="857"/>
      <c r="AU120" s="857"/>
      <c r="AV120" s="857"/>
      <c r="AW120" s="857"/>
      <c r="AX120" s="857"/>
      <c r="AY120" s="857"/>
      <c r="AZ120" s="857"/>
      <c r="BA120" s="857"/>
      <c r="BB120" s="857"/>
      <c r="BC120" s="857"/>
      <c r="BD120" s="857"/>
      <c r="BE120" s="857"/>
      <c r="BF120" s="857"/>
      <c r="BG120" s="857"/>
      <c r="BH120" s="857"/>
      <c r="BI120" s="857"/>
      <c r="BJ120" s="857"/>
      <c r="BK120" s="857"/>
      <c r="BL120" s="857"/>
      <c r="BM120" s="857"/>
      <c r="BN120" s="857"/>
      <c r="BO120" s="857"/>
      <c r="BP120" s="857"/>
      <c r="BQ120" s="857"/>
      <c r="BR120" s="857"/>
      <c r="BS120" s="857"/>
      <c r="BT120" s="857"/>
      <c r="BU120" s="857"/>
      <c r="BV120" s="857"/>
      <c r="BW120" s="857"/>
      <c r="BX120" s="857"/>
      <c r="BY120" s="857"/>
      <c r="BZ120" s="857"/>
      <c r="CA120" s="857"/>
      <c r="CB120" s="857"/>
      <c r="CC120" s="857"/>
      <c r="CD120" s="857"/>
      <c r="CE120" s="857"/>
      <c r="CF120" s="857"/>
      <c r="CG120" s="857"/>
      <c r="CH120" s="857"/>
      <c r="CI120" s="857"/>
      <c r="CJ120" s="857"/>
      <c r="CK120" s="857"/>
      <c r="CL120" s="857"/>
      <c r="CM120" s="857"/>
      <c r="CN120" s="857"/>
      <c r="CO120" s="857"/>
      <c r="CP120" s="857"/>
      <c r="CQ120" s="857"/>
      <c r="CR120" s="857"/>
      <c r="CS120" s="857"/>
      <c r="CT120" s="857"/>
      <c r="CU120" s="857"/>
      <c r="CV120" s="857"/>
      <c r="CW120" s="857"/>
      <c r="CX120" s="857"/>
      <c r="CY120" s="857"/>
      <c r="CZ120" s="857"/>
      <c r="DA120" s="857"/>
      <c r="DB120" s="857"/>
      <c r="DC120" s="857"/>
      <c r="DD120" s="857"/>
      <c r="DE120" s="857"/>
      <c r="DF120" s="857"/>
      <c r="DG120" s="857"/>
      <c r="DH120" s="857"/>
      <c r="DI120" s="857"/>
      <c r="DJ120" s="857"/>
      <c r="DK120" s="857"/>
      <c r="DL120" s="857"/>
      <c r="DM120" s="857"/>
      <c r="DN120" s="857"/>
      <c r="DO120" s="857"/>
      <c r="DP120" s="857"/>
      <c r="DQ120" s="857"/>
      <c r="DR120" s="857"/>
      <c r="DS120" s="857"/>
      <c r="DT120" s="857"/>
      <c r="DU120" s="857"/>
      <c r="DV120" s="857"/>
      <c r="DW120" s="857"/>
      <c r="DX120" s="857"/>
      <c r="DY120" s="857"/>
      <c r="DZ120" s="857"/>
      <c r="EA120" s="857"/>
      <c r="EB120" s="857"/>
      <c r="EC120" s="857"/>
      <c r="ED120" s="857"/>
      <c r="EE120" s="857"/>
      <c r="EF120" s="857"/>
      <c r="EG120" s="857"/>
      <c r="EH120" s="857"/>
      <c r="EI120" s="857"/>
      <c r="EJ120" s="857"/>
      <c r="EK120" s="857"/>
      <c r="EL120" s="857"/>
      <c r="EM120" s="857"/>
      <c r="EN120" s="857"/>
      <c r="EO120" s="857"/>
      <c r="EP120" s="857"/>
      <c r="EQ120" s="857"/>
      <c r="ER120" s="857"/>
      <c r="ES120" s="857"/>
      <c r="ET120" s="857"/>
    </row>
    <row r="121" spans="1:150" s="508" customFormat="1" ht="13.5" customHeight="1">
      <c r="A121" s="741"/>
      <c r="B121" s="694"/>
      <c r="C121" s="694" t="s">
        <v>128</v>
      </c>
      <c r="D121" s="694" t="s">
        <v>129</v>
      </c>
      <c r="E121" s="694"/>
      <c r="F121" s="695"/>
      <c r="G121" s="696"/>
      <c r="H121" s="696">
        <f>SUM(H122:H140,H145:H147,H152:H154,H159)</f>
        <v>0</v>
      </c>
      <c r="I121" s="697"/>
      <c r="J121" s="1174"/>
      <c r="K121" s="1175"/>
      <c r="L121" s="1164"/>
      <c r="M121" s="1164"/>
      <c r="N121" s="1164"/>
      <c r="O121" s="1164"/>
      <c r="P121" s="1176"/>
      <c r="Q121" s="1177"/>
      <c r="R121" s="452"/>
      <c r="S121" s="452"/>
      <c r="T121" s="452"/>
      <c r="U121" s="452"/>
      <c r="V121" s="452"/>
      <c r="W121" s="452"/>
      <c r="X121" s="452"/>
      <c r="Y121" s="452"/>
      <c r="Z121" s="452"/>
      <c r="AA121" s="452"/>
      <c r="AB121" s="452"/>
      <c r="AC121" s="452"/>
      <c r="AD121" s="452"/>
      <c r="AE121" s="452"/>
      <c r="AF121" s="452"/>
      <c r="AG121" s="452"/>
      <c r="AH121" s="452"/>
      <c r="AI121" s="452"/>
      <c r="AJ121" s="452"/>
      <c r="AK121" s="452"/>
      <c r="AL121" s="509"/>
      <c r="AM121" s="509"/>
      <c r="AN121" s="509"/>
      <c r="AO121" s="509"/>
      <c r="AP121" s="509"/>
      <c r="AQ121" s="509"/>
      <c r="AR121" s="509"/>
      <c r="AS121" s="509"/>
      <c r="AT121" s="509"/>
      <c r="AU121" s="509"/>
      <c r="AV121" s="509"/>
      <c r="AW121" s="509"/>
      <c r="AX121" s="509"/>
      <c r="AY121" s="509"/>
      <c r="AZ121" s="509"/>
      <c r="BA121" s="509"/>
      <c r="BB121" s="509"/>
      <c r="BC121" s="509"/>
      <c r="BD121" s="509"/>
      <c r="BE121" s="509"/>
      <c r="BF121" s="509"/>
      <c r="BG121" s="509"/>
      <c r="BH121" s="509"/>
      <c r="BI121" s="509"/>
      <c r="BJ121" s="509"/>
      <c r="BK121" s="509"/>
      <c r="BL121" s="509"/>
      <c r="BM121" s="509"/>
      <c r="BN121" s="509"/>
      <c r="BO121" s="509"/>
      <c r="BP121" s="509"/>
      <c r="BQ121" s="509"/>
      <c r="BR121" s="509"/>
      <c r="BS121" s="509"/>
      <c r="BT121" s="509"/>
      <c r="BU121" s="509"/>
      <c r="BV121" s="509"/>
      <c r="BW121" s="509"/>
      <c r="BX121" s="509"/>
      <c r="BY121" s="509"/>
      <c r="BZ121" s="509"/>
      <c r="CA121" s="509"/>
      <c r="CB121" s="509"/>
      <c r="CC121" s="509"/>
      <c r="CD121" s="509"/>
      <c r="CE121" s="509"/>
      <c r="CF121" s="509"/>
      <c r="CG121" s="509"/>
      <c r="CH121" s="509"/>
      <c r="CI121" s="509"/>
      <c r="CJ121" s="509"/>
      <c r="CK121" s="509"/>
      <c r="CL121" s="509"/>
      <c r="CM121" s="509"/>
      <c r="CN121" s="509"/>
      <c r="CO121" s="509"/>
      <c r="CP121" s="509"/>
      <c r="CQ121" s="509"/>
      <c r="CR121" s="509"/>
      <c r="CS121" s="509"/>
      <c r="CT121" s="509"/>
      <c r="CU121" s="509"/>
      <c r="CV121" s="509"/>
      <c r="CW121" s="509"/>
      <c r="CX121" s="509"/>
      <c r="CY121" s="509"/>
      <c r="CZ121" s="509"/>
      <c r="DA121" s="509"/>
      <c r="DB121" s="509"/>
      <c r="DC121" s="509"/>
      <c r="DD121" s="509"/>
      <c r="DE121" s="509"/>
      <c r="DF121" s="509"/>
      <c r="DG121" s="509"/>
      <c r="DH121" s="509"/>
      <c r="DI121" s="509"/>
      <c r="DJ121" s="509"/>
      <c r="DK121" s="509"/>
      <c r="DL121" s="509"/>
      <c r="DM121" s="509"/>
      <c r="DN121" s="509"/>
      <c r="DO121" s="509"/>
      <c r="DP121" s="509"/>
      <c r="DQ121" s="509"/>
      <c r="DR121" s="509"/>
      <c r="DS121" s="509"/>
      <c r="DT121" s="509"/>
      <c r="DU121" s="509"/>
      <c r="DV121" s="509"/>
      <c r="DW121" s="509"/>
      <c r="DX121" s="509"/>
      <c r="DY121" s="509"/>
      <c r="DZ121" s="509"/>
      <c r="EA121" s="509"/>
      <c r="EB121" s="509"/>
      <c r="EC121" s="509"/>
      <c r="ED121" s="509"/>
      <c r="EE121" s="509"/>
      <c r="EF121" s="509"/>
      <c r="EG121" s="509"/>
      <c r="EH121" s="509"/>
      <c r="EI121" s="509"/>
      <c r="EJ121" s="509"/>
      <c r="EK121" s="509"/>
      <c r="EL121" s="509"/>
      <c r="EM121" s="509"/>
      <c r="EN121" s="509"/>
      <c r="EO121" s="509"/>
      <c r="EP121" s="509"/>
      <c r="EQ121" s="509"/>
      <c r="ER121" s="509"/>
      <c r="ES121" s="509"/>
      <c r="ET121" s="509"/>
    </row>
    <row r="122" spans="1:150" s="541" customFormat="1" ht="13.5" customHeight="1">
      <c r="A122" s="535">
        <v>35</v>
      </c>
      <c r="B122" s="537">
        <v>221</v>
      </c>
      <c r="C122" s="537">
        <v>919726122</v>
      </c>
      <c r="D122" s="537" t="s">
        <v>569</v>
      </c>
      <c r="E122" s="537" t="s">
        <v>98</v>
      </c>
      <c r="F122" s="565">
        <f>F123</f>
        <v>49</v>
      </c>
      <c r="G122" s="115"/>
      <c r="H122" s="907">
        <f>F122*G122</f>
        <v>0</v>
      </c>
      <c r="I122" s="533" t="s">
        <v>738</v>
      </c>
      <c r="J122" s="452"/>
      <c r="K122" s="452"/>
      <c r="L122" s="452"/>
      <c r="M122" s="452"/>
      <c r="N122" s="452"/>
      <c r="O122" s="452"/>
      <c r="P122" s="452"/>
      <c r="Q122" s="452"/>
      <c r="R122" s="452"/>
      <c r="S122" s="452"/>
      <c r="T122" s="452"/>
      <c r="U122" s="452"/>
      <c r="V122" s="452"/>
      <c r="W122" s="452"/>
      <c r="X122" s="452"/>
      <c r="Y122" s="452"/>
      <c r="Z122" s="452"/>
      <c r="AA122" s="452"/>
      <c r="AB122" s="452"/>
      <c r="AC122" s="452"/>
      <c r="AD122" s="452"/>
      <c r="AE122" s="452"/>
      <c r="AF122" s="452"/>
      <c r="AG122" s="452"/>
      <c r="AH122" s="452"/>
      <c r="AI122" s="452"/>
      <c r="AJ122" s="452"/>
      <c r="AK122" s="452"/>
      <c r="AL122" s="452"/>
      <c r="AM122" s="452"/>
      <c r="AN122" s="452"/>
      <c r="AO122" s="452"/>
      <c r="AP122" s="452"/>
      <c r="AQ122" s="452"/>
      <c r="AR122" s="452"/>
      <c r="AS122" s="452"/>
    </row>
    <row r="123" spans="1:150" s="1180" customFormat="1" ht="13.5" customHeight="1">
      <c r="A123" s="1178"/>
      <c r="B123" s="576"/>
      <c r="C123" s="576"/>
      <c r="D123" s="542" t="s">
        <v>748</v>
      </c>
      <c r="E123" s="576"/>
      <c r="F123" s="543">
        <f>(6+0.5*2)*(6+0.5*2)</f>
        <v>49</v>
      </c>
      <c r="G123" s="1179"/>
      <c r="H123" s="1179"/>
      <c r="I123" s="608"/>
      <c r="J123" s="804"/>
      <c r="K123" s="804"/>
      <c r="L123" s="804"/>
      <c r="M123" s="804"/>
      <c r="N123" s="804"/>
      <c r="O123" s="804"/>
      <c r="P123" s="804"/>
      <c r="Q123" s="804"/>
      <c r="R123" s="804"/>
      <c r="S123" s="804"/>
      <c r="T123" s="804"/>
      <c r="U123" s="804"/>
      <c r="V123" s="804"/>
      <c r="W123" s="804"/>
      <c r="X123" s="804"/>
      <c r="Y123" s="804"/>
      <c r="Z123" s="804"/>
      <c r="AA123" s="804"/>
      <c r="AB123" s="804"/>
      <c r="AC123" s="804"/>
      <c r="AD123" s="804"/>
      <c r="AE123" s="804"/>
      <c r="AF123" s="804"/>
      <c r="AG123" s="804"/>
      <c r="AH123" s="804"/>
      <c r="AI123" s="804"/>
      <c r="AJ123" s="804"/>
      <c r="AK123" s="804"/>
      <c r="AL123" s="804"/>
      <c r="AM123" s="804"/>
      <c r="AN123" s="804"/>
      <c r="AO123" s="804"/>
      <c r="AP123" s="804"/>
      <c r="AQ123" s="804"/>
      <c r="AR123" s="804"/>
      <c r="AS123" s="804"/>
    </row>
    <row r="124" spans="1:150" s="541" customFormat="1" ht="13.5" customHeight="1">
      <c r="A124" s="535">
        <v>36</v>
      </c>
      <c r="B124" s="537">
        <v>221</v>
      </c>
      <c r="C124" s="537">
        <v>919735113</v>
      </c>
      <c r="D124" s="537" t="s">
        <v>391</v>
      </c>
      <c r="E124" s="537" t="s">
        <v>115</v>
      </c>
      <c r="F124" s="565">
        <f>F125</f>
        <v>17.25</v>
      </c>
      <c r="G124" s="115"/>
      <c r="H124" s="907">
        <f>F124*G124</f>
        <v>0</v>
      </c>
      <c r="I124" s="533" t="s">
        <v>738</v>
      </c>
      <c r="J124" s="1007"/>
      <c r="K124" s="452"/>
      <c r="L124" s="452"/>
      <c r="M124" s="452"/>
      <c r="N124" s="452"/>
      <c r="O124" s="452"/>
      <c r="P124" s="452"/>
      <c r="Q124" s="452"/>
      <c r="R124" s="452"/>
      <c r="S124" s="452"/>
      <c r="T124" s="452"/>
      <c r="U124" s="452"/>
      <c r="V124" s="452"/>
      <c r="W124" s="452"/>
      <c r="X124" s="452"/>
      <c r="Y124" s="452"/>
      <c r="Z124" s="452"/>
      <c r="AA124" s="452"/>
      <c r="AB124" s="452"/>
      <c r="AC124" s="452"/>
      <c r="AD124" s="452"/>
      <c r="AE124" s="452"/>
      <c r="AF124" s="452"/>
      <c r="AG124" s="452"/>
      <c r="AH124" s="452"/>
      <c r="AI124" s="452"/>
      <c r="AJ124" s="452"/>
      <c r="AK124" s="452"/>
      <c r="AL124" s="452"/>
      <c r="AM124" s="452"/>
      <c r="AN124" s="452"/>
      <c r="AO124" s="452"/>
      <c r="AP124" s="452"/>
      <c r="AQ124" s="452"/>
      <c r="AR124" s="452"/>
      <c r="AS124" s="452"/>
    </row>
    <row r="125" spans="1:150" s="1180" customFormat="1" ht="13.5" customHeight="1">
      <c r="A125" s="1178"/>
      <c r="B125" s="576"/>
      <c r="C125" s="576"/>
      <c r="D125" s="542" t="s">
        <v>397</v>
      </c>
      <c r="E125" s="576"/>
      <c r="F125" s="543">
        <f>2.1+1.45+5.95+5.85+1.9</f>
        <v>17.25</v>
      </c>
      <c r="G125" s="1179"/>
      <c r="H125" s="1179"/>
      <c r="I125" s="608"/>
      <c r="J125" s="804"/>
      <c r="K125" s="804"/>
      <c r="L125" s="804"/>
      <c r="M125" s="804"/>
      <c r="N125" s="804"/>
      <c r="O125" s="804"/>
      <c r="P125" s="804"/>
      <c r="Q125" s="804"/>
      <c r="R125" s="804"/>
      <c r="S125" s="804"/>
      <c r="T125" s="804"/>
      <c r="U125" s="804"/>
      <c r="V125" s="804"/>
      <c r="W125" s="804"/>
      <c r="X125" s="804"/>
      <c r="Y125" s="804"/>
      <c r="Z125" s="804"/>
      <c r="AA125" s="804"/>
      <c r="AB125" s="804"/>
      <c r="AC125" s="804"/>
      <c r="AD125" s="804"/>
      <c r="AE125" s="804"/>
      <c r="AF125" s="804"/>
      <c r="AG125" s="804"/>
      <c r="AH125" s="804"/>
      <c r="AI125" s="804"/>
      <c r="AJ125" s="804"/>
      <c r="AK125" s="804"/>
      <c r="AL125" s="804"/>
      <c r="AM125" s="804"/>
      <c r="AN125" s="804"/>
      <c r="AO125" s="804"/>
      <c r="AP125" s="804"/>
      <c r="AQ125" s="804"/>
      <c r="AR125" s="804"/>
      <c r="AS125" s="804"/>
    </row>
    <row r="126" spans="1:150" s="541" customFormat="1" ht="13.5" customHeight="1">
      <c r="A126" s="535">
        <v>37</v>
      </c>
      <c r="B126" s="537">
        <v>221</v>
      </c>
      <c r="C126" s="537">
        <v>966008211</v>
      </c>
      <c r="D126" s="537" t="s">
        <v>396</v>
      </c>
      <c r="E126" s="537" t="s">
        <v>115</v>
      </c>
      <c r="F126" s="565">
        <f>F127</f>
        <v>9.5</v>
      </c>
      <c r="G126" s="115"/>
      <c r="H126" s="907">
        <f>F126*G126</f>
        <v>0</v>
      </c>
      <c r="I126" s="533" t="s">
        <v>738</v>
      </c>
      <c r="J126" s="1181"/>
      <c r="K126" s="452"/>
      <c r="L126" s="452"/>
      <c r="M126" s="452"/>
      <c r="N126" s="452"/>
      <c r="O126" s="452"/>
      <c r="P126" s="452"/>
      <c r="Q126" s="452"/>
      <c r="R126" s="452"/>
      <c r="S126" s="452"/>
      <c r="T126" s="452"/>
      <c r="U126" s="452"/>
      <c r="V126" s="452"/>
      <c r="W126" s="452"/>
      <c r="X126" s="452"/>
      <c r="Y126" s="452"/>
      <c r="Z126" s="452"/>
      <c r="AA126" s="452"/>
      <c r="AB126" s="452"/>
      <c r="AC126" s="452"/>
      <c r="AD126" s="452"/>
      <c r="AE126" s="452"/>
      <c r="AF126" s="452"/>
      <c r="AG126" s="452"/>
      <c r="AH126" s="452"/>
      <c r="AI126" s="452"/>
      <c r="AJ126" s="452"/>
      <c r="AK126" s="452"/>
      <c r="AL126" s="452"/>
      <c r="AM126" s="452"/>
      <c r="AN126" s="452"/>
      <c r="AO126" s="452"/>
      <c r="AP126" s="452"/>
      <c r="AQ126" s="452"/>
      <c r="AR126" s="452"/>
      <c r="AS126" s="452"/>
    </row>
    <row r="127" spans="1:150" s="1180" customFormat="1" ht="13.5" customHeight="1">
      <c r="A127" s="1178"/>
      <c r="B127" s="576"/>
      <c r="C127" s="576"/>
      <c r="D127" s="542" t="s">
        <v>823</v>
      </c>
      <c r="E127" s="576"/>
      <c r="F127" s="543">
        <v>9.5</v>
      </c>
      <c r="G127" s="1179"/>
      <c r="H127" s="1179"/>
      <c r="I127" s="608"/>
      <c r="J127" s="804"/>
      <c r="K127" s="804"/>
      <c r="L127" s="804"/>
      <c r="M127" s="804"/>
      <c r="N127" s="804"/>
      <c r="O127" s="804"/>
      <c r="P127" s="804"/>
      <c r="Q127" s="804"/>
      <c r="R127" s="804"/>
      <c r="S127" s="804"/>
      <c r="T127" s="804"/>
      <c r="U127" s="804"/>
      <c r="V127" s="804"/>
      <c r="W127" s="804"/>
      <c r="X127" s="804"/>
      <c r="Y127" s="804"/>
      <c r="Z127" s="804"/>
      <c r="AA127" s="804"/>
      <c r="AB127" s="804"/>
      <c r="AC127" s="804"/>
      <c r="AD127" s="804"/>
      <c r="AE127" s="804"/>
      <c r="AF127" s="804"/>
      <c r="AG127" s="804"/>
      <c r="AH127" s="804"/>
      <c r="AI127" s="804"/>
      <c r="AJ127" s="804"/>
      <c r="AK127" s="804"/>
      <c r="AL127" s="804"/>
      <c r="AM127" s="804"/>
      <c r="AN127" s="804"/>
      <c r="AO127" s="804"/>
      <c r="AP127" s="804"/>
      <c r="AQ127" s="804"/>
      <c r="AR127" s="804"/>
      <c r="AS127" s="804"/>
    </row>
    <row r="128" spans="1:150" s="509" customFormat="1" ht="13.5" customHeight="1">
      <c r="A128" s="530"/>
      <c r="B128" s="700"/>
      <c r="C128" s="34"/>
      <c r="D128" s="445" t="s">
        <v>398</v>
      </c>
      <c r="E128" s="34"/>
      <c r="F128" s="1138"/>
      <c r="G128" s="532"/>
      <c r="H128" s="532"/>
      <c r="I128" s="533"/>
      <c r="J128" s="791"/>
      <c r="K128" s="452"/>
      <c r="L128" s="452"/>
      <c r="M128" s="452"/>
      <c r="N128" s="452"/>
      <c r="O128" s="452"/>
      <c r="P128" s="452"/>
      <c r="Q128" s="452"/>
      <c r="R128" s="452"/>
      <c r="S128" s="452"/>
      <c r="T128" s="452"/>
      <c r="U128" s="452"/>
      <c r="V128" s="452"/>
      <c r="W128" s="452"/>
      <c r="X128" s="452"/>
      <c r="Y128" s="452"/>
      <c r="Z128" s="452"/>
      <c r="AA128" s="452"/>
      <c r="AB128" s="452"/>
      <c r="AC128" s="452"/>
      <c r="AD128" s="452"/>
      <c r="AE128" s="452"/>
      <c r="AF128" s="452"/>
      <c r="AG128" s="452"/>
      <c r="AH128" s="452"/>
      <c r="AI128" s="452"/>
      <c r="AJ128" s="452"/>
      <c r="AK128" s="452"/>
    </row>
    <row r="129" spans="1:45" s="541" customFormat="1" ht="13.5" customHeight="1">
      <c r="A129" s="535">
        <v>38</v>
      </c>
      <c r="B129" s="537">
        <v>221</v>
      </c>
      <c r="C129" s="537" t="s">
        <v>570</v>
      </c>
      <c r="D129" s="537" t="s">
        <v>743</v>
      </c>
      <c r="E129" s="537" t="s">
        <v>102</v>
      </c>
      <c r="F129" s="565">
        <f>F130</f>
        <v>2</v>
      </c>
      <c r="G129" s="115"/>
      <c r="H129" s="907">
        <f>F129*G129</f>
        <v>0</v>
      </c>
      <c r="I129" s="533" t="s">
        <v>740</v>
      </c>
      <c r="J129" s="452"/>
      <c r="K129" s="804"/>
      <c r="L129" s="452"/>
      <c r="M129" s="452"/>
      <c r="N129" s="452"/>
      <c r="O129" s="452"/>
      <c r="P129" s="916"/>
      <c r="Q129" s="452"/>
      <c r="R129" s="452"/>
      <c r="S129" s="452"/>
      <c r="T129" s="452"/>
      <c r="U129" s="452"/>
      <c r="V129" s="452"/>
      <c r="W129" s="452"/>
      <c r="X129" s="452"/>
      <c r="Y129" s="452"/>
      <c r="Z129" s="452"/>
      <c r="AA129" s="452"/>
      <c r="AB129" s="452"/>
      <c r="AC129" s="452"/>
      <c r="AD129" s="452"/>
      <c r="AE129" s="452"/>
      <c r="AF129" s="452"/>
      <c r="AG129" s="452"/>
      <c r="AH129" s="452"/>
      <c r="AI129" s="452"/>
      <c r="AJ129" s="452"/>
      <c r="AK129" s="452"/>
      <c r="AL129" s="452"/>
      <c r="AM129" s="452"/>
      <c r="AN129" s="452"/>
      <c r="AO129" s="452"/>
      <c r="AP129" s="452"/>
      <c r="AQ129" s="452"/>
      <c r="AR129" s="452"/>
      <c r="AS129" s="452"/>
    </row>
    <row r="130" spans="1:45" s="1180" customFormat="1" ht="13.5" customHeight="1">
      <c r="A130" s="1178"/>
      <c r="B130" s="576"/>
      <c r="C130" s="576"/>
      <c r="D130" s="542" t="s">
        <v>744</v>
      </c>
      <c r="E130" s="576"/>
      <c r="F130" s="543">
        <v>2</v>
      </c>
      <c r="G130" s="1179"/>
      <c r="H130" s="1179"/>
      <c r="I130" s="608"/>
      <c r="J130" s="622"/>
      <c r="K130" s="804"/>
      <c r="L130" s="804"/>
      <c r="M130" s="804"/>
      <c r="N130" s="804"/>
      <c r="O130" s="804"/>
      <c r="P130" s="804"/>
      <c r="Q130" s="804"/>
      <c r="R130" s="804"/>
      <c r="S130" s="804"/>
      <c r="T130" s="804"/>
      <c r="U130" s="804"/>
      <c r="V130" s="804"/>
      <c r="W130" s="804"/>
      <c r="X130" s="804"/>
      <c r="Y130" s="804"/>
      <c r="Z130" s="804"/>
      <c r="AA130" s="804"/>
      <c r="AB130" s="804"/>
      <c r="AC130" s="804"/>
      <c r="AD130" s="804"/>
      <c r="AE130" s="804"/>
      <c r="AF130" s="804"/>
      <c r="AG130" s="804"/>
      <c r="AH130" s="804"/>
      <c r="AI130" s="804"/>
      <c r="AJ130" s="804"/>
      <c r="AK130" s="804"/>
      <c r="AL130" s="804"/>
      <c r="AM130" s="804"/>
      <c r="AN130" s="804"/>
      <c r="AO130" s="804"/>
      <c r="AP130" s="804"/>
      <c r="AQ130" s="804"/>
      <c r="AR130" s="804"/>
      <c r="AS130" s="804"/>
    </row>
    <row r="131" spans="1:45" s="1180" customFormat="1" ht="54" customHeight="1">
      <c r="A131" s="1178"/>
      <c r="B131" s="576"/>
      <c r="C131" s="576"/>
      <c r="D131" s="542" t="s">
        <v>571</v>
      </c>
      <c r="E131" s="576"/>
      <c r="F131" s="543"/>
      <c r="G131" s="1179"/>
      <c r="H131" s="1179"/>
      <c r="I131" s="608"/>
      <c r="J131" s="1182"/>
      <c r="K131" s="804"/>
      <c r="L131" s="804"/>
      <c r="M131" s="804"/>
      <c r="N131" s="804"/>
      <c r="O131" s="804"/>
      <c r="P131" s="804"/>
      <c r="Q131" s="804"/>
      <c r="R131" s="804"/>
      <c r="S131" s="804"/>
      <c r="T131" s="804"/>
      <c r="U131" s="804"/>
      <c r="V131" s="804"/>
      <c r="W131" s="804"/>
      <c r="X131" s="804"/>
      <c r="Y131" s="804"/>
      <c r="Z131" s="804"/>
      <c r="AA131" s="804"/>
      <c r="AB131" s="804"/>
      <c r="AC131" s="804"/>
      <c r="AD131" s="804"/>
      <c r="AE131" s="804"/>
      <c r="AF131" s="804"/>
      <c r="AG131" s="804"/>
      <c r="AH131" s="804"/>
      <c r="AI131" s="804"/>
      <c r="AJ131" s="804"/>
      <c r="AK131" s="804"/>
      <c r="AL131" s="804"/>
      <c r="AM131" s="804"/>
      <c r="AN131" s="804"/>
      <c r="AO131" s="804"/>
      <c r="AP131" s="804"/>
      <c r="AQ131" s="804"/>
      <c r="AR131" s="804"/>
      <c r="AS131" s="804"/>
    </row>
    <row r="132" spans="1:45" s="1180" customFormat="1" ht="13.5" customHeight="1">
      <c r="A132" s="535">
        <v>39</v>
      </c>
      <c r="B132" s="537">
        <v>221</v>
      </c>
      <c r="C132" s="537" t="s">
        <v>749</v>
      </c>
      <c r="D132" s="537" t="s">
        <v>750</v>
      </c>
      <c r="E132" s="537" t="s">
        <v>102</v>
      </c>
      <c r="F132" s="565">
        <f>F133</f>
        <v>1</v>
      </c>
      <c r="G132" s="115"/>
      <c r="H132" s="907">
        <f>F132*G132</f>
        <v>0</v>
      </c>
      <c r="I132" s="533" t="s">
        <v>740</v>
      </c>
      <c r="J132" s="1182"/>
      <c r="K132" s="804"/>
      <c r="L132" s="804"/>
      <c r="M132" s="804"/>
      <c r="N132" s="804"/>
      <c r="O132" s="804"/>
      <c r="P132" s="804"/>
      <c r="Q132" s="804"/>
      <c r="R132" s="804"/>
      <c r="S132" s="804"/>
      <c r="T132" s="804"/>
      <c r="U132" s="804"/>
      <c r="V132" s="804"/>
      <c r="W132" s="804"/>
      <c r="X132" s="804"/>
      <c r="Y132" s="804"/>
      <c r="Z132" s="804"/>
      <c r="AA132" s="804"/>
      <c r="AB132" s="804"/>
      <c r="AC132" s="804"/>
      <c r="AD132" s="804"/>
      <c r="AE132" s="804"/>
      <c r="AF132" s="804"/>
      <c r="AG132" s="804"/>
      <c r="AH132" s="804"/>
      <c r="AI132" s="804"/>
      <c r="AJ132" s="804"/>
      <c r="AK132" s="804"/>
      <c r="AL132" s="804"/>
      <c r="AM132" s="804"/>
      <c r="AN132" s="804"/>
      <c r="AO132" s="804"/>
      <c r="AP132" s="804"/>
      <c r="AQ132" s="804"/>
      <c r="AR132" s="804"/>
      <c r="AS132" s="804"/>
    </row>
    <row r="133" spans="1:45" s="1180" customFormat="1" ht="27" customHeight="1">
      <c r="A133" s="1178"/>
      <c r="B133" s="576"/>
      <c r="C133" s="576"/>
      <c r="D133" s="542" t="s">
        <v>751</v>
      </c>
      <c r="E133" s="576"/>
      <c r="F133" s="543">
        <v>1</v>
      </c>
      <c r="G133" s="1179"/>
      <c r="H133" s="1179"/>
      <c r="I133" s="608"/>
      <c r="J133" s="1182"/>
      <c r="K133" s="804"/>
      <c r="L133" s="804"/>
      <c r="M133" s="804"/>
      <c r="N133" s="804"/>
      <c r="O133" s="804"/>
      <c r="P133" s="804"/>
      <c r="Q133" s="804"/>
      <c r="R133" s="804"/>
      <c r="S133" s="804"/>
      <c r="T133" s="804"/>
      <c r="U133" s="804"/>
      <c r="V133" s="804"/>
      <c r="W133" s="804"/>
      <c r="X133" s="804"/>
      <c r="Y133" s="804"/>
      <c r="Z133" s="804"/>
      <c r="AA133" s="804"/>
      <c r="AB133" s="804"/>
      <c r="AC133" s="804"/>
      <c r="AD133" s="804"/>
      <c r="AE133" s="804"/>
      <c r="AF133" s="804"/>
      <c r="AG133" s="804"/>
      <c r="AH133" s="804"/>
      <c r="AI133" s="804"/>
      <c r="AJ133" s="804"/>
      <c r="AK133" s="804"/>
      <c r="AL133" s="804"/>
      <c r="AM133" s="804"/>
      <c r="AN133" s="804"/>
      <c r="AO133" s="804"/>
      <c r="AP133" s="804"/>
      <c r="AQ133" s="804"/>
      <c r="AR133" s="804"/>
      <c r="AS133" s="804"/>
    </row>
    <row r="134" spans="1:45" s="1180" customFormat="1" ht="66.95" customHeight="1">
      <c r="A134" s="1178"/>
      <c r="B134" s="576"/>
      <c r="C134" s="576"/>
      <c r="D134" s="421" t="s">
        <v>753</v>
      </c>
      <c r="E134" s="576"/>
      <c r="F134" s="543"/>
      <c r="G134" s="1179"/>
      <c r="H134" s="1179"/>
      <c r="I134" s="608"/>
      <c r="J134" s="1182"/>
      <c r="K134" s="804"/>
      <c r="L134" s="804"/>
      <c r="M134" s="804"/>
      <c r="N134" s="804"/>
      <c r="O134" s="804"/>
      <c r="P134" s="804"/>
      <c r="Q134" s="804"/>
      <c r="R134" s="804"/>
      <c r="S134" s="804"/>
      <c r="T134" s="804"/>
      <c r="U134" s="804"/>
      <c r="V134" s="804"/>
      <c r="W134" s="804"/>
      <c r="X134" s="804"/>
      <c r="Y134" s="804"/>
      <c r="Z134" s="804"/>
      <c r="AA134" s="804"/>
      <c r="AB134" s="804"/>
      <c r="AC134" s="804"/>
      <c r="AD134" s="804"/>
      <c r="AE134" s="804"/>
      <c r="AF134" s="804"/>
      <c r="AG134" s="804"/>
      <c r="AH134" s="804"/>
      <c r="AI134" s="804"/>
      <c r="AJ134" s="804"/>
      <c r="AK134" s="804"/>
      <c r="AL134" s="804"/>
      <c r="AM134" s="804"/>
      <c r="AN134" s="804"/>
      <c r="AO134" s="804"/>
      <c r="AP134" s="804"/>
      <c r="AQ134" s="804"/>
      <c r="AR134" s="804"/>
      <c r="AS134" s="804"/>
    </row>
    <row r="135" spans="1:45" s="663" customFormat="1" ht="13.5" customHeight="1">
      <c r="A135" s="1183" t="s">
        <v>764</v>
      </c>
      <c r="B135" s="700" t="s">
        <v>133</v>
      </c>
      <c r="C135" s="34" t="s">
        <v>134</v>
      </c>
      <c r="D135" s="1074" t="s">
        <v>135</v>
      </c>
      <c r="E135" s="1074" t="s">
        <v>33</v>
      </c>
      <c r="F135" s="1184">
        <f>F136</f>
        <v>1</v>
      </c>
      <c r="G135" s="1112"/>
      <c r="H135" s="1097">
        <f>F135*G135</f>
        <v>0</v>
      </c>
      <c r="I135" s="819" t="s">
        <v>740</v>
      </c>
      <c r="J135" s="1185"/>
      <c r="K135" s="662"/>
      <c r="L135" s="1186"/>
      <c r="M135" s="1187"/>
      <c r="N135" s="1187"/>
      <c r="O135" s="1187"/>
      <c r="P135" s="1188"/>
      <c r="Q135" s="1189"/>
      <c r="R135" s="1190"/>
      <c r="S135" s="1191"/>
      <c r="T135" s="1191"/>
      <c r="U135" s="1192"/>
      <c r="V135" s="662"/>
      <c r="W135" s="1193"/>
      <c r="X135" s="662"/>
      <c r="Y135" s="662"/>
      <c r="Z135" s="662"/>
      <c r="AA135" s="662"/>
      <c r="AB135" s="662"/>
      <c r="AC135" s="662"/>
      <c r="AD135" s="662"/>
      <c r="AE135" s="662"/>
      <c r="AF135" s="662"/>
      <c r="AG135" s="662"/>
      <c r="AH135" s="662"/>
      <c r="AI135" s="662"/>
      <c r="AJ135" s="662"/>
      <c r="AK135" s="662"/>
      <c r="AL135" s="662"/>
      <c r="AM135" s="662"/>
      <c r="AN135" s="662"/>
      <c r="AO135" s="662"/>
      <c r="AP135" s="662"/>
      <c r="AQ135" s="662"/>
      <c r="AR135" s="662"/>
      <c r="AS135" s="662"/>
    </row>
    <row r="136" spans="1:45" s="663" customFormat="1" ht="27" customHeight="1">
      <c r="A136" s="1183"/>
      <c r="B136" s="700"/>
      <c r="C136" s="34"/>
      <c r="D136" s="36" t="s">
        <v>758</v>
      </c>
      <c r="E136" s="1074"/>
      <c r="F136" s="1076">
        <v>1</v>
      </c>
      <c r="G136" s="1097"/>
      <c r="H136" s="1097"/>
      <c r="I136" s="819"/>
      <c r="J136" s="1185"/>
      <c r="K136" s="1194"/>
      <c r="L136" s="1187"/>
      <c r="M136" s="1195"/>
      <c r="N136" s="1196"/>
      <c r="O136" s="1187"/>
      <c r="P136" s="1188"/>
      <c r="Q136" s="1197"/>
      <c r="R136" s="1190"/>
      <c r="S136" s="1191"/>
      <c r="T136" s="1191"/>
      <c r="U136" s="1192"/>
      <c r="V136" s="662"/>
      <c r="W136" s="1193"/>
      <c r="X136" s="662"/>
      <c r="Y136" s="662"/>
      <c r="Z136" s="662"/>
      <c r="AA136" s="662"/>
      <c r="AB136" s="662"/>
      <c r="AC136" s="662"/>
      <c r="AD136" s="662"/>
      <c r="AE136" s="662"/>
      <c r="AF136" s="662"/>
      <c r="AG136" s="662"/>
      <c r="AH136" s="662"/>
      <c r="AI136" s="662"/>
      <c r="AJ136" s="662"/>
      <c r="AK136" s="662"/>
      <c r="AL136" s="662"/>
      <c r="AM136" s="662"/>
      <c r="AN136" s="662"/>
      <c r="AO136" s="662"/>
      <c r="AP136" s="662"/>
      <c r="AQ136" s="662"/>
      <c r="AR136" s="662"/>
      <c r="AS136" s="662"/>
    </row>
    <row r="137" spans="1:45" s="663" customFormat="1" ht="27" customHeight="1">
      <c r="A137" s="1183"/>
      <c r="B137" s="700"/>
      <c r="C137" s="34"/>
      <c r="D137" s="36" t="s">
        <v>268</v>
      </c>
      <c r="E137" s="1074"/>
      <c r="F137" s="1074"/>
      <c r="G137" s="1097"/>
      <c r="H137" s="1097"/>
      <c r="I137" s="819"/>
      <c r="J137" s="1185"/>
      <c r="K137" s="1009"/>
      <c r="L137" s="1187"/>
      <c r="M137" s="1195"/>
      <c r="N137" s="1195"/>
      <c r="O137" s="1187"/>
      <c r="P137" s="1188"/>
      <c r="Q137" s="1197"/>
      <c r="R137" s="1190"/>
      <c r="S137" s="1191"/>
      <c r="T137" s="1191"/>
      <c r="U137" s="1192"/>
      <c r="V137" s="662"/>
      <c r="W137" s="1193"/>
      <c r="X137" s="662"/>
      <c r="Y137" s="662"/>
      <c r="Z137" s="662"/>
      <c r="AA137" s="662"/>
      <c r="AB137" s="662"/>
      <c r="AC137" s="662"/>
      <c r="AD137" s="662"/>
      <c r="AE137" s="662"/>
      <c r="AF137" s="662"/>
      <c r="AG137" s="662"/>
      <c r="AH137" s="662"/>
      <c r="AI137" s="662"/>
      <c r="AJ137" s="662"/>
      <c r="AK137" s="662"/>
      <c r="AL137" s="662"/>
      <c r="AM137" s="662"/>
      <c r="AN137" s="662"/>
      <c r="AO137" s="662"/>
      <c r="AP137" s="662"/>
      <c r="AQ137" s="662"/>
      <c r="AR137" s="662"/>
      <c r="AS137" s="662"/>
    </row>
    <row r="138" spans="1:45" s="663" customFormat="1" ht="81" customHeight="1">
      <c r="A138" s="1183"/>
      <c r="B138" s="1198"/>
      <c r="C138" s="1199"/>
      <c r="D138" s="388" t="s">
        <v>269</v>
      </c>
      <c r="E138" s="547"/>
      <c r="F138" s="547"/>
      <c r="G138" s="1097"/>
      <c r="H138" s="1200"/>
      <c r="I138" s="1201"/>
      <c r="J138" s="1185"/>
      <c r="K138" s="1009"/>
      <c r="L138" s="1187"/>
      <c r="M138" s="622"/>
      <c r="N138" s="1187"/>
      <c r="O138" s="1185"/>
      <c r="P138" s="1188"/>
      <c r="Q138" s="1189"/>
      <c r="R138" s="1190"/>
      <c r="S138" s="1191"/>
      <c r="T138" s="1191"/>
      <c r="U138" s="1192"/>
      <c r="V138" s="662"/>
      <c r="W138" s="1193"/>
      <c r="X138" s="662"/>
      <c r="Y138" s="662"/>
      <c r="Z138" s="662"/>
      <c r="AA138" s="662"/>
      <c r="AB138" s="662"/>
      <c r="AC138" s="662"/>
      <c r="AD138" s="662"/>
      <c r="AE138" s="662"/>
      <c r="AF138" s="662"/>
      <c r="AG138" s="662"/>
      <c r="AH138" s="662"/>
      <c r="AI138" s="662"/>
      <c r="AJ138" s="662"/>
      <c r="AK138" s="662"/>
      <c r="AL138" s="662"/>
      <c r="AM138" s="662"/>
      <c r="AN138" s="662"/>
      <c r="AO138" s="662"/>
      <c r="AP138" s="662"/>
      <c r="AQ138" s="662"/>
      <c r="AR138" s="662"/>
      <c r="AS138" s="662"/>
    </row>
    <row r="139" spans="1:45" s="508" customFormat="1" ht="27" customHeight="1">
      <c r="A139" s="530">
        <v>41</v>
      </c>
      <c r="B139" s="424" t="s">
        <v>133</v>
      </c>
      <c r="C139" s="427" t="s">
        <v>136</v>
      </c>
      <c r="D139" s="34" t="s">
        <v>634</v>
      </c>
      <c r="E139" s="435" t="s">
        <v>125</v>
      </c>
      <c r="F139" s="534">
        <f>SUM(F140)</f>
        <v>89.23</v>
      </c>
      <c r="G139" s="788">
        <f>SUM(H141:H144)/F139</f>
        <v>0</v>
      </c>
      <c r="H139" s="848">
        <f>F139*G139</f>
        <v>0</v>
      </c>
      <c r="I139" s="533" t="s">
        <v>739</v>
      </c>
      <c r="J139" s="459"/>
      <c r="K139" s="452"/>
      <c r="L139" s="452"/>
      <c r="M139" s="452"/>
      <c r="N139" s="452"/>
      <c r="O139" s="452"/>
      <c r="P139" s="452"/>
      <c r="Q139" s="452"/>
      <c r="R139" s="452"/>
      <c r="S139" s="452"/>
      <c r="T139" s="452"/>
      <c r="U139" s="452"/>
      <c r="V139" s="452"/>
      <c r="W139" s="452"/>
      <c r="X139" s="452"/>
      <c r="Y139" s="452"/>
      <c r="Z139" s="452"/>
      <c r="AA139" s="452"/>
      <c r="AB139" s="452"/>
      <c r="AC139" s="452"/>
      <c r="AD139" s="452"/>
      <c r="AE139" s="452"/>
      <c r="AF139" s="452"/>
      <c r="AG139" s="452"/>
      <c r="AH139" s="452"/>
      <c r="AI139" s="452"/>
      <c r="AJ139" s="452"/>
      <c r="AK139" s="452"/>
      <c r="AL139" s="509"/>
      <c r="AM139" s="509"/>
      <c r="AN139" s="509"/>
      <c r="AO139" s="509"/>
      <c r="AP139" s="509"/>
      <c r="AQ139" s="509"/>
      <c r="AR139" s="509"/>
      <c r="AS139" s="509"/>
    </row>
    <row r="140" spans="1:45" s="508" customFormat="1" ht="13.5" customHeight="1">
      <c r="A140" s="849"/>
      <c r="B140" s="850"/>
      <c r="C140" s="851"/>
      <c r="D140" s="36" t="s">
        <v>400</v>
      </c>
      <c r="E140" s="36"/>
      <c r="F140" s="924">
        <f>77.572+11.658</f>
        <v>89.23</v>
      </c>
      <c r="G140" s="933"/>
      <c r="H140" s="848"/>
      <c r="I140" s="697"/>
      <c r="J140" s="459"/>
      <c r="K140" s="452"/>
      <c r="L140" s="460"/>
      <c r="M140" s="452"/>
      <c r="N140" s="452"/>
      <c r="O140" s="452"/>
      <c r="P140" s="452"/>
      <c r="Q140" s="452"/>
      <c r="R140" s="452"/>
      <c r="S140" s="452"/>
      <c r="T140" s="452"/>
      <c r="U140" s="452"/>
      <c r="V140" s="452"/>
      <c r="W140" s="452"/>
      <c r="X140" s="452"/>
      <c r="Y140" s="452"/>
      <c r="Z140" s="452"/>
      <c r="AA140" s="452"/>
      <c r="AB140" s="452"/>
      <c r="AC140" s="452"/>
      <c r="AD140" s="452"/>
      <c r="AE140" s="452"/>
      <c r="AF140" s="452"/>
      <c r="AG140" s="452"/>
      <c r="AH140" s="452"/>
      <c r="AI140" s="452"/>
      <c r="AJ140" s="452"/>
      <c r="AK140" s="452"/>
      <c r="AL140" s="509"/>
      <c r="AM140" s="509"/>
      <c r="AN140" s="509"/>
      <c r="AO140" s="509"/>
      <c r="AP140" s="509"/>
      <c r="AQ140" s="509"/>
      <c r="AR140" s="509"/>
      <c r="AS140" s="509"/>
    </row>
    <row r="141" spans="1:45" s="508" customFormat="1" ht="13.5" customHeight="1">
      <c r="A141" s="927" t="s">
        <v>302</v>
      </c>
      <c r="B141" s="850"/>
      <c r="C141" s="445">
        <v>997221611</v>
      </c>
      <c r="D141" s="36" t="s">
        <v>137</v>
      </c>
      <c r="E141" s="36" t="s">
        <v>125</v>
      </c>
      <c r="F141" s="928">
        <f>F140</f>
        <v>89.23</v>
      </c>
      <c r="G141" s="132"/>
      <c r="H141" s="853">
        <f>F141*G141</f>
        <v>0</v>
      </c>
      <c r="I141" s="449" t="s">
        <v>738</v>
      </c>
      <c r="J141" s="459"/>
      <c r="K141" s="929"/>
      <c r="L141" s="929"/>
      <c r="M141" s="929"/>
      <c r="N141" s="929"/>
      <c r="O141" s="929"/>
      <c r="P141" s="929"/>
      <c r="Q141" s="459"/>
      <c r="R141" s="452"/>
      <c r="S141" s="452"/>
      <c r="T141" s="452"/>
      <c r="U141" s="452"/>
      <c r="V141" s="452"/>
      <c r="W141" s="452"/>
      <c r="X141" s="452"/>
      <c r="Y141" s="452"/>
      <c r="Z141" s="452"/>
      <c r="AA141" s="452"/>
      <c r="AB141" s="452"/>
      <c r="AC141" s="452"/>
      <c r="AD141" s="452"/>
      <c r="AE141" s="452"/>
      <c r="AF141" s="452"/>
      <c r="AG141" s="452"/>
      <c r="AH141" s="452"/>
      <c r="AI141" s="452"/>
      <c r="AJ141" s="452"/>
      <c r="AK141" s="452"/>
      <c r="AL141" s="509"/>
      <c r="AM141" s="509"/>
      <c r="AN141" s="509"/>
      <c r="AO141" s="509"/>
      <c r="AP141" s="509"/>
      <c r="AQ141" s="509"/>
      <c r="AR141" s="509"/>
      <c r="AS141" s="509"/>
    </row>
    <row r="142" spans="1:45" s="508" customFormat="1" ht="13.5" customHeight="1">
      <c r="A142" s="927" t="s">
        <v>303</v>
      </c>
      <c r="B142" s="850"/>
      <c r="C142" s="445">
        <v>997221551</v>
      </c>
      <c r="D142" s="445" t="s">
        <v>138</v>
      </c>
      <c r="E142" s="36" t="s">
        <v>125</v>
      </c>
      <c r="F142" s="928">
        <f>F139</f>
        <v>89.23</v>
      </c>
      <c r="G142" s="132"/>
      <c r="H142" s="930">
        <f>F142*G142</f>
        <v>0</v>
      </c>
      <c r="I142" s="449" t="s">
        <v>738</v>
      </c>
      <c r="J142" s="459"/>
      <c r="K142" s="929"/>
      <c r="L142" s="929"/>
      <c r="M142" s="929"/>
      <c r="N142" s="929"/>
      <c r="O142" s="929"/>
      <c r="P142" s="929"/>
      <c r="Q142" s="459"/>
      <c r="R142" s="452"/>
      <c r="S142" s="452"/>
      <c r="T142" s="452"/>
      <c r="U142" s="452"/>
      <c r="V142" s="452"/>
      <c r="W142" s="452"/>
      <c r="X142" s="452"/>
      <c r="Y142" s="452"/>
      <c r="Z142" s="452"/>
      <c r="AA142" s="452"/>
      <c r="AB142" s="452"/>
      <c r="AC142" s="452"/>
      <c r="AD142" s="452"/>
      <c r="AE142" s="452"/>
      <c r="AF142" s="452"/>
      <c r="AG142" s="452"/>
      <c r="AH142" s="452"/>
      <c r="AI142" s="452"/>
      <c r="AJ142" s="452"/>
      <c r="AK142" s="452"/>
      <c r="AL142" s="509"/>
      <c r="AM142" s="509"/>
      <c r="AN142" s="509"/>
      <c r="AO142" s="509"/>
      <c r="AP142" s="509"/>
      <c r="AQ142" s="509"/>
      <c r="AR142" s="509"/>
      <c r="AS142" s="509"/>
    </row>
    <row r="143" spans="1:45" s="508" customFormat="1" ht="27" customHeight="1">
      <c r="A143" s="927" t="s">
        <v>304</v>
      </c>
      <c r="B143" s="850"/>
      <c r="C143" s="445">
        <v>997221559</v>
      </c>
      <c r="D143" s="36" t="s">
        <v>139</v>
      </c>
      <c r="E143" s="36" t="s">
        <v>125</v>
      </c>
      <c r="F143" s="928">
        <f>5*F140</f>
        <v>446.15000000000003</v>
      </c>
      <c r="G143" s="132"/>
      <c r="H143" s="930">
        <f>F143*G143</f>
        <v>0</v>
      </c>
      <c r="I143" s="449" t="s">
        <v>738</v>
      </c>
      <c r="J143" s="450"/>
      <c r="K143" s="929"/>
      <c r="L143" s="929"/>
      <c r="M143" s="929"/>
      <c r="N143" s="929"/>
      <c r="O143" s="929"/>
      <c r="P143" s="929"/>
      <c r="Q143" s="450"/>
      <c r="R143" s="452"/>
      <c r="S143" s="452"/>
      <c r="T143" s="452"/>
      <c r="U143" s="452"/>
      <c r="V143" s="452"/>
      <c r="W143" s="452"/>
      <c r="X143" s="452"/>
      <c r="Y143" s="452"/>
      <c r="Z143" s="452"/>
      <c r="AA143" s="452"/>
      <c r="AB143" s="452"/>
      <c r="AC143" s="452"/>
      <c r="AD143" s="452"/>
      <c r="AE143" s="452"/>
      <c r="AF143" s="452"/>
      <c r="AG143" s="452"/>
      <c r="AH143" s="452"/>
      <c r="AI143" s="452"/>
      <c r="AJ143" s="452"/>
      <c r="AK143" s="452"/>
      <c r="AL143" s="509"/>
      <c r="AM143" s="509"/>
      <c r="AN143" s="509"/>
      <c r="AO143" s="509"/>
      <c r="AP143" s="509"/>
      <c r="AQ143" s="509"/>
      <c r="AR143" s="509"/>
      <c r="AS143" s="509"/>
    </row>
    <row r="144" spans="1:45" s="508" customFormat="1" ht="13.5" customHeight="1">
      <c r="A144" s="927" t="s">
        <v>305</v>
      </c>
      <c r="B144" s="850"/>
      <c r="C144" s="445">
        <v>997221655</v>
      </c>
      <c r="D144" s="36" t="s">
        <v>140</v>
      </c>
      <c r="E144" s="36" t="s">
        <v>125</v>
      </c>
      <c r="F144" s="928">
        <f>F140</f>
        <v>89.23</v>
      </c>
      <c r="G144" s="132"/>
      <c r="H144" s="853">
        <f>F144*G144</f>
        <v>0</v>
      </c>
      <c r="I144" s="449" t="s">
        <v>738</v>
      </c>
      <c r="J144" s="450"/>
      <c r="K144" s="929"/>
      <c r="L144" s="929"/>
      <c r="M144" s="929"/>
      <c r="N144" s="929"/>
      <c r="O144" s="929"/>
      <c r="P144" s="929"/>
      <c r="Q144" s="450"/>
      <c r="R144" s="452"/>
      <c r="S144" s="452"/>
      <c r="T144" s="452"/>
      <c r="U144" s="452"/>
      <c r="V144" s="452"/>
      <c r="W144" s="452"/>
      <c r="X144" s="452"/>
      <c r="Y144" s="452"/>
      <c r="Z144" s="452"/>
      <c r="AA144" s="452"/>
      <c r="AB144" s="452"/>
      <c r="AC144" s="452"/>
      <c r="AD144" s="452"/>
      <c r="AE144" s="452"/>
      <c r="AF144" s="452"/>
      <c r="AG144" s="452"/>
      <c r="AH144" s="452"/>
      <c r="AI144" s="452"/>
      <c r="AJ144" s="452"/>
      <c r="AK144" s="452"/>
      <c r="AL144" s="509"/>
      <c r="AM144" s="509"/>
      <c r="AN144" s="509"/>
      <c r="AO144" s="509"/>
      <c r="AP144" s="509"/>
      <c r="AQ144" s="509"/>
      <c r="AR144" s="509"/>
      <c r="AS144" s="509"/>
    </row>
    <row r="145" spans="1:150" s="508" customFormat="1" ht="67.5" customHeight="1">
      <c r="A145" s="927"/>
      <c r="B145" s="850"/>
      <c r="C145" s="851"/>
      <c r="D145" s="388" t="s">
        <v>195</v>
      </c>
      <c r="E145" s="36"/>
      <c r="F145" s="928"/>
      <c r="G145" s="925"/>
      <c r="H145" s="848"/>
      <c r="I145" s="697"/>
      <c r="J145" s="540"/>
      <c r="K145" s="932"/>
      <c r="L145" s="460"/>
      <c r="M145" s="452"/>
      <c r="N145" s="452"/>
      <c r="O145" s="452"/>
      <c r="P145" s="452"/>
      <c r="Q145" s="452"/>
      <c r="R145" s="452"/>
      <c r="S145" s="452"/>
      <c r="T145" s="452"/>
      <c r="U145" s="452"/>
      <c r="V145" s="452"/>
      <c r="W145" s="452"/>
      <c r="X145" s="452"/>
      <c r="Y145" s="452"/>
      <c r="Z145" s="452"/>
      <c r="AA145" s="452"/>
      <c r="AB145" s="452"/>
      <c r="AC145" s="452"/>
      <c r="AD145" s="452"/>
      <c r="AE145" s="452"/>
      <c r="AF145" s="452"/>
      <c r="AG145" s="452"/>
      <c r="AH145" s="452"/>
      <c r="AI145" s="452"/>
      <c r="AJ145" s="452"/>
      <c r="AK145" s="452"/>
      <c r="AL145" s="509"/>
      <c r="AM145" s="509"/>
      <c r="AN145" s="509"/>
      <c r="AO145" s="509"/>
      <c r="AP145" s="509"/>
      <c r="AQ145" s="509"/>
      <c r="AR145" s="509"/>
      <c r="AS145" s="509"/>
    </row>
    <row r="146" spans="1:150" s="508" customFormat="1" ht="27" customHeight="1">
      <c r="A146" s="530">
        <v>42</v>
      </c>
      <c r="B146" s="424" t="s">
        <v>133</v>
      </c>
      <c r="C146" s="427" t="s">
        <v>141</v>
      </c>
      <c r="D146" s="34" t="s">
        <v>639</v>
      </c>
      <c r="E146" s="435" t="s">
        <v>125</v>
      </c>
      <c r="F146" s="534">
        <f>SUM(F147)</f>
        <v>19.003999999999998</v>
      </c>
      <c r="G146" s="788">
        <f>SUM(H148:H151)/F146</f>
        <v>0</v>
      </c>
      <c r="H146" s="848">
        <f>F146*G146</f>
        <v>0</v>
      </c>
      <c r="I146" s="533" t="s">
        <v>739</v>
      </c>
      <c r="J146" s="459"/>
      <c r="K146" s="1100"/>
      <c r="L146" s="452"/>
      <c r="M146" s="452"/>
      <c r="N146" s="452"/>
      <c r="O146" s="452"/>
      <c r="P146" s="452"/>
      <c r="Q146" s="452"/>
      <c r="R146" s="452"/>
      <c r="S146" s="452"/>
      <c r="T146" s="452"/>
      <c r="U146" s="452"/>
      <c r="V146" s="452"/>
      <c r="W146" s="452"/>
      <c r="X146" s="452"/>
      <c r="Y146" s="452"/>
      <c r="Z146" s="452"/>
      <c r="AA146" s="452"/>
      <c r="AB146" s="452"/>
      <c r="AC146" s="452"/>
      <c r="AD146" s="452"/>
      <c r="AE146" s="452"/>
      <c r="AF146" s="452"/>
      <c r="AG146" s="452"/>
      <c r="AH146" s="452"/>
      <c r="AI146" s="452"/>
      <c r="AJ146" s="452"/>
      <c r="AK146" s="452"/>
      <c r="AL146" s="509"/>
      <c r="AM146" s="509"/>
      <c r="AN146" s="509"/>
      <c r="AO146" s="509"/>
      <c r="AP146" s="509"/>
      <c r="AQ146" s="509"/>
      <c r="AR146" s="509"/>
      <c r="AS146" s="509"/>
    </row>
    <row r="147" spans="1:150" s="508" customFormat="1" ht="13.5" customHeight="1">
      <c r="A147" s="849"/>
      <c r="B147" s="850"/>
      <c r="C147" s="851"/>
      <c r="D147" s="36" t="s">
        <v>830</v>
      </c>
      <c r="E147" s="36"/>
      <c r="F147" s="924">
        <f>10.452+1.914+3.711+0.552+2.375</f>
        <v>19.003999999999998</v>
      </c>
      <c r="G147" s="933"/>
      <c r="H147" s="848"/>
      <c r="I147" s="697"/>
      <c r="J147" s="1099"/>
      <c r="K147" s="452"/>
      <c r="L147" s="460"/>
      <c r="M147" s="452"/>
      <c r="N147" s="452"/>
      <c r="O147" s="452"/>
      <c r="P147" s="452"/>
      <c r="Q147" s="452"/>
      <c r="R147" s="452"/>
      <c r="S147" s="452"/>
      <c r="T147" s="452"/>
      <c r="U147" s="452"/>
      <c r="V147" s="452"/>
      <c r="W147" s="452"/>
      <c r="X147" s="452"/>
      <c r="Y147" s="452"/>
      <c r="Z147" s="452"/>
      <c r="AA147" s="452"/>
      <c r="AB147" s="452"/>
      <c r="AC147" s="452"/>
      <c r="AD147" s="452"/>
      <c r="AE147" s="452"/>
      <c r="AF147" s="452"/>
      <c r="AG147" s="452"/>
      <c r="AH147" s="452"/>
      <c r="AI147" s="452"/>
      <c r="AJ147" s="452"/>
      <c r="AK147" s="452"/>
      <c r="AL147" s="509"/>
      <c r="AM147" s="509"/>
      <c r="AN147" s="509"/>
      <c r="AO147" s="509"/>
      <c r="AP147" s="509"/>
      <c r="AQ147" s="509"/>
      <c r="AR147" s="509"/>
      <c r="AS147" s="509"/>
    </row>
    <row r="148" spans="1:150" s="508" customFormat="1" ht="13.5" customHeight="1">
      <c r="A148" s="927" t="s">
        <v>306</v>
      </c>
      <c r="B148" s="850"/>
      <c r="C148" s="445">
        <v>997221611</v>
      </c>
      <c r="D148" s="36" t="s">
        <v>137</v>
      </c>
      <c r="E148" s="36" t="s">
        <v>125</v>
      </c>
      <c r="F148" s="928">
        <f>F147</f>
        <v>19.003999999999998</v>
      </c>
      <c r="G148" s="132"/>
      <c r="H148" s="853">
        <f>F148*G148</f>
        <v>0</v>
      </c>
      <c r="I148" s="449" t="s">
        <v>738</v>
      </c>
      <c r="J148" s="459"/>
      <c r="K148" s="929"/>
      <c r="L148" s="929"/>
      <c r="M148" s="929"/>
      <c r="N148" s="929"/>
      <c r="O148" s="929"/>
      <c r="P148" s="929"/>
      <c r="Q148" s="459"/>
      <c r="R148" s="452"/>
      <c r="S148" s="452"/>
      <c r="T148" s="452"/>
      <c r="U148" s="452"/>
      <c r="V148" s="452"/>
      <c r="W148" s="452"/>
      <c r="X148" s="452"/>
      <c r="Y148" s="452"/>
      <c r="Z148" s="452"/>
      <c r="AA148" s="452"/>
      <c r="AB148" s="452"/>
      <c r="AC148" s="452"/>
      <c r="AD148" s="452"/>
      <c r="AE148" s="452"/>
      <c r="AF148" s="452"/>
      <c r="AG148" s="452"/>
      <c r="AH148" s="452"/>
      <c r="AI148" s="452"/>
      <c r="AJ148" s="452"/>
      <c r="AK148" s="452"/>
      <c r="AL148" s="509"/>
      <c r="AM148" s="509"/>
      <c r="AN148" s="509"/>
      <c r="AO148" s="509"/>
      <c r="AP148" s="509"/>
      <c r="AQ148" s="509"/>
      <c r="AR148" s="509"/>
      <c r="AS148" s="509"/>
    </row>
    <row r="149" spans="1:150" s="508" customFormat="1" ht="13.5" customHeight="1">
      <c r="A149" s="927" t="s">
        <v>307</v>
      </c>
      <c r="B149" s="850"/>
      <c r="C149" s="445">
        <v>997221561</v>
      </c>
      <c r="D149" s="36" t="s">
        <v>142</v>
      </c>
      <c r="E149" s="36" t="s">
        <v>125</v>
      </c>
      <c r="F149" s="928">
        <f>F146</f>
        <v>19.003999999999998</v>
      </c>
      <c r="G149" s="132"/>
      <c r="H149" s="930">
        <f>F149*G149</f>
        <v>0</v>
      </c>
      <c r="I149" s="449" t="s">
        <v>738</v>
      </c>
      <c r="J149" s="459"/>
      <c r="K149" s="929"/>
      <c r="L149" s="929"/>
      <c r="M149" s="929"/>
      <c r="N149" s="929"/>
      <c r="O149" s="929"/>
      <c r="P149" s="929"/>
      <c r="Q149" s="459"/>
      <c r="R149" s="452"/>
      <c r="S149" s="452"/>
      <c r="T149" s="452"/>
      <c r="U149" s="452"/>
      <c r="V149" s="452"/>
      <c r="W149" s="452"/>
      <c r="X149" s="452"/>
      <c r="Y149" s="452"/>
      <c r="Z149" s="452"/>
      <c r="AA149" s="452"/>
      <c r="AB149" s="452"/>
      <c r="AC149" s="452"/>
      <c r="AD149" s="452"/>
      <c r="AE149" s="452"/>
      <c r="AF149" s="452"/>
      <c r="AG149" s="452"/>
      <c r="AH149" s="452"/>
      <c r="AI149" s="452"/>
      <c r="AJ149" s="452"/>
      <c r="AK149" s="452"/>
      <c r="AL149" s="509"/>
      <c r="AM149" s="509"/>
      <c r="AN149" s="509"/>
      <c r="AO149" s="509"/>
      <c r="AP149" s="509"/>
      <c r="AQ149" s="509"/>
      <c r="AR149" s="509"/>
      <c r="AS149" s="509"/>
    </row>
    <row r="150" spans="1:150" s="508" customFormat="1" ht="27" customHeight="1">
      <c r="A150" s="927" t="s">
        <v>308</v>
      </c>
      <c r="B150" s="850"/>
      <c r="C150" s="445">
        <v>997221569</v>
      </c>
      <c r="D150" s="36" t="s">
        <v>143</v>
      </c>
      <c r="E150" s="36" t="s">
        <v>125</v>
      </c>
      <c r="F150" s="928">
        <f>5*F147</f>
        <v>95.019999999999982</v>
      </c>
      <c r="G150" s="132"/>
      <c r="H150" s="930">
        <f>F150*G150</f>
        <v>0</v>
      </c>
      <c r="I150" s="449" t="s">
        <v>738</v>
      </c>
      <c r="J150" s="450"/>
      <c r="K150" s="929"/>
      <c r="L150" s="929"/>
      <c r="M150" s="929"/>
      <c r="N150" s="929"/>
      <c r="O150" s="929"/>
      <c r="P150" s="929"/>
      <c r="Q150" s="450"/>
      <c r="R150" s="452"/>
      <c r="S150" s="452"/>
      <c r="T150" s="452"/>
      <c r="U150" s="452"/>
      <c r="V150" s="452"/>
      <c r="W150" s="452"/>
      <c r="X150" s="452"/>
      <c r="Y150" s="452"/>
      <c r="Z150" s="452"/>
      <c r="AA150" s="452"/>
      <c r="AB150" s="452"/>
      <c r="AC150" s="452"/>
      <c r="AD150" s="452"/>
      <c r="AE150" s="452"/>
      <c r="AF150" s="452"/>
      <c r="AG150" s="452"/>
      <c r="AH150" s="452"/>
      <c r="AI150" s="452"/>
      <c r="AJ150" s="452"/>
      <c r="AK150" s="452"/>
      <c r="AL150" s="509"/>
      <c r="AM150" s="509"/>
      <c r="AN150" s="509"/>
      <c r="AO150" s="509"/>
      <c r="AP150" s="509"/>
      <c r="AQ150" s="509"/>
      <c r="AR150" s="509"/>
      <c r="AS150" s="509"/>
    </row>
    <row r="151" spans="1:150" s="508" customFormat="1" ht="27" customHeight="1">
      <c r="A151" s="927" t="s">
        <v>309</v>
      </c>
      <c r="B151" s="850"/>
      <c r="C151" s="445" t="s">
        <v>194</v>
      </c>
      <c r="D151" s="36" t="s">
        <v>144</v>
      </c>
      <c r="E151" s="36" t="s">
        <v>125</v>
      </c>
      <c r="F151" s="928">
        <f>F147</f>
        <v>19.003999999999998</v>
      </c>
      <c r="G151" s="132"/>
      <c r="H151" s="853">
        <f>F151*G151</f>
        <v>0</v>
      </c>
      <c r="I151" s="449" t="s">
        <v>740</v>
      </c>
      <c r="J151" s="450"/>
      <c r="K151" s="929"/>
      <c r="L151" s="929"/>
      <c r="M151" s="929"/>
      <c r="N151" s="929"/>
      <c r="O151" s="929"/>
      <c r="P151" s="929"/>
      <c r="Q151" s="450"/>
      <c r="R151" s="452"/>
      <c r="S151" s="452"/>
      <c r="T151" s="452"/>
      <c r="U151" s="452"/>
      <c r="V151" s="452"/>
      <c r="W151" s="452"/>
      <c r="X151" s="452"/>
      <c r="Y151" s="452"/>
      <c r="Z151" s="452"/>
      <c r="AA151" s="452"/>
      <c r="AB151" s="452"/>
      <c r="AC151" s="452"/>
      <c r="AD151" s="452"/>
      <c r="AE151" s="452"/>
      <c r="AF151" s="452"/>
      <c r="AG151" s="452"/>
      <c r="AH151" s="452"/>
      <c r="AI151" s="452"/>
      <c r="AJ151" s="452"/>
      <c r="AK151" s="452"/>
      <c r="AL151" s="509"/>
      <c r="AM151" s="509"/>
      <c r="AN151" s="509"/>
      <c r="AO151" s="509"/>
      <c r="AP151" s="509"/>
      <c r="AQ151" s="509"/>
      <c r="AR151" s="509"/>
      <c r="AS151" s="509"/>
    </row>
    <row r="152" spans="1:150" s="508" customFormat="1" ht="67.5" customHeight="1">
      <c r="A152" s="927"/>
      <c r="B152" s="850"/>
      <c r="C152" s="851"/>
      <c r="D152" s="388" t="s">
        <v>195</v>
      </c>
      <c r="E152" s="36"/>
      <c r="F152" s="928"/>
      <c r="G152" s="925"/>
      <c r="H152" s="848"/>
      <c r="I152" s="931"/>
      <c r="J152" s="540"/>
      <c r="K152" s="932"/>
      <c r="L152" s="460"/>
      <c r="M152" s="452"/>
      <c r="N152" s="452"/>
      <c r="O152" s="452"/>
      <c r="P152" s="452"/>
      <c r="Q152" s="452"/>
      <c r="R152" s="452"/>
      <c r="S152" s="452"/>
      <c r="T152" s="452"/>
      <c r="U152" s="452"/>
      <c r="V152" s="452"/>
      <c r="W152" s="452"/>
      <c r="X152" s="452"/>
      <c r="Y152" s="452"/>
      <c r="Z152" s="452"/>
      <c r="AA152" s="452"/>
      <c r="AB152" s="452"/>
      <c r="AC152" s="452"/>
      <c r="AD152" s="452"/>
      <c r="AE152" s="452"/>
      <c r="AF152" s="452"/>
      <c r="AG152" s="452"/>
      <c r="AH152" s="452"/>
      <c r="AI152" s="452"/>
      <c r="AJ152" s="452"/>
      <c r="AK152" s="452"/>
      <c r="AL152" s="509"/>
      <c r="AM152" s="509"/>
      <c r="AN152" s="509"/>
      <c r="AO152" s="509"/>
      <c r="AP152" s="509"/>
      <c r="AQ152" s="509"/>
      <c r="AR152" s="509"/>
      <c r="AS152" s="509"/>
    </row>
    <row r="153" spans="1:150" s="508" customFormat="1" ht="27" customHeight="1">
      <c r="A153" s="530">
        <v>43</v>
      </c>
      <c r="B153" s="424" t="s">
        <v>133</v>
      </c>
      <c r="C153" s="427" t="s">
        <v>251</v>
      </c>
      <c r="D153" s="34" t="s">
        <v>635</v>
      </c>
      <c r="E153" s="435" t="s">
        <v>125</v>
      </c>
      <c r="F153" s="534">
        <f>SUM(F154)</f>
        <v>55.710999999999999</v>
      </c>
      <c r="G153" s="788">
        <f>SUM(H155:H158)/F153</f>
        <v>0</v>
      </c>
      <c r="H153" s="532">
        <f>F153*G153</f>
        <v>0</v>
      </c>
      <c r="I153" s="533" t="s">
        <v>739</v>
      </c>
      <c r="J153" s="809"/>
      <c r="K153" s="509"/>
      <c r="L153" s="509"/>
      <c r="M153" s="509"/>
      <c r="N153" s="509"/>
      <c r="O153" s="509"/>
      <c r="P153" s="509"/>
      <c r="Q153" s="509"/>
      <c r="R153" s="509"/>
      <c r="S153" s="509"/>
      <c r="T153" s="509"/>
      <c r="U153" s="509"/>
      <c r="V153" s="509"/>
      <c r="W153" s="509"/>
      <c r="X153" s="509"/>
      <c r="Y153" s="509"/>
      <c r="Z153" s="509"/>
      <c r="AA153" s="509"/>
      <c r="AB153" s="509"/>
      <c r="AC153" s="509"/>
      <c r="AD153" s="509"/>
      <c r="AE153" s="509"/>
      <c r="AF153" s="509"/>
      <c r="AG153" s="509"/>
      <c r="AH153" s="509"/>
      <c r="AI153" s="509"/>
      <c r="AJ153" s="509"/>
      <c r="AK153" s="509"/>
      <c r="AL153" s="509"/>
      <c r="AM153" s="509"/>
      <c r="AN153" s="509"/>
      <c r="AO153" s="509"/>
      <c r="AP153" s="509"/>
      <c r="AQ153" s="509"/>
      <c r="AR153" s="509"/>
      <c r="AS153" s="509"/>
      <c r="AT153" s="509"/>
      <c r="AU153" s="509"/>
      <c r="AV153" s="509"/>
      <c r="AW153" s="509"/>
      <c r="AX153" s="509"/>
      <c r="AY153" s="509"/>
      <c r="AZ153" s="509"/>
      <c r="BA153" s="509"/>
      <c r="BB153" s="509"/>
      <c r="BC153" s="509"/>
      <c r="BD153" s="509"/>
      <c r="BE153" s="509"/>
      <c r="BF153" s="509"/>
      <c r="BG153" s="509"/>
      <c r="BH153" s="509"/>
      <c r="BI153" s="509"/>
      <c r="BJ153" s="509"/>
      <c r="BK153" s="509"/>
      <c r="BL153" s="509"/>
      <c r="BM153" s="509"/>
      <c r="BN153" s="509"/>
      <c r="BO153" s="509"/>
      <c r="BP153" s="509"/>
      <c r="BQ153" s="509"/>
      <c r="BR153" s="509"/>
      <c r="BS153" s="509"/>
      <c r="BT153" s="509"/>
      <c r="BU153" s="509"/>
      <c r="BV153" s="509"/>
      <c r="BW153" s="509"/>
      <c r="BX153" s="509"/>
      <c r="BY153" s="509"/>
      <c r="BZ153" s="509"/>
      <c r="CA153" s="509"/>
      <c r="CB153" s="509"/>
      <c r="CC153" s="509"/>
      <c r="CD153" s="509"/>
      <c r="CE153" s="509"/>
      <c r="CF153" s="509"/>
      <c r="CG153" s="509"/>
      <c r="CH153" s="509"/>
      <c r="CI153" s="509"/>
      <c r="CJ153" s="509"/>
      <c r="CK153" s="509"/>
      <c r="CL153" s="509"/>
      <c r="CM153" s="509"/>
      <c r="CN153" s="509"/>
      <c r="CO153" s="509"/>
      <c r="CP153" s="509"/>
      <c r="CQ153" s="509"/>
      <c r="CR153" s="509"/>
      <c r="CS153" s="509"/>
      <c r="CT153" s="509"/>
      <c r="CU153" s="509"/>
      <c r="CV153" s="509"/>
      <c r="CW153" s="509"/>
      <c r="CX153" s="509"/>
      <c r="CY153" s="509"/>
      <c r="CZ153" s="509"/>
      <c r="DA153" s="509"/>
      <c r="DB153" s="509"/>
      <c r="DC153" s="509"/>
      <c r="DD153" s="509"/>
      <c r="DE153" s="509"/>
      <c r="DF153" s="509"/>
      <c r="DG153" s="509"/>
      <c r="DH153" s="509"/>
      <c r="DI153" s="509"/>
      <c r="DJ153" s="509"/>
      <c r="DK153" s="509"/>
      <c r="DL153" s="509"/>
      <c r="DM153" s="509"/>
      <c r="DN153" s="509"/>
      <c r="DO153" s="509"/>
      <c r="DP153" s="509"/>
      <c r="DQ153" s="509"/>
      <c r="DR153" s="509"/>
      <c r="DS153" s="509"/>
      <c r="DT153" s="509"/>
      <c r="DU153" s="509"/>
    </row>
    <row r="154" spans="1:150" s="508" customFormat="1" ht="13.5" customHeight="1">
      <c r="A154" s="849"/>
      <c r="B154" s="850"/>
      <c r="C154" s="851"/>
      <c r="D154" s="36" t="s">
        <v>399</v>
      </c>
      <c r="E154" s="36"/>
      <c r="F154" s="924">
        <f>55.711</f>
        <v>55.710999999999999</v>
      </c>
      <c r="G154" s="933"/>
      <c r="H154" s="934"/>
      <c r="I154" s="697"/>
      <c r="J154" s="1202"/>
      <c r="K154" s="509"/>
      <c r="L154" s="693"/>
      <c r="M154" s="509"/>
      <c r="N154" s="509"/>
      <c r="O154" s="509"/>
      <c r="P154" s="509"/>
      <c r="Q154" s="509"/>
      <c r="R154" s="509"/>
      <c r="S154" s="509"/>
      <c r="T154" s="509"/>
      <c r="U154" s="509"/>
      <c r="V154" s="509"/>
      <c r="W154" s="509"/>
      <c r="X154" s="509"/>
      <c r="Y154" s="509"/>
      <c r="Z154" s="509"/>
      <c r="AA154" s="509"/>
      <c r="AB154" s="509"/>
      <c r="AC154" s="509"/>
      <c r="AD154" s="509"/>
      <c r="AE154" s="509"/>
      <c r="AF154" s="509"/>
      <c r="AG154" s="509"/>
      <c r="AH154" s="509"/>
      <c r="AI154" s="509"/>
      <c r="AJ154" s="509"/>
      <c r="AK154" s="509"/>
      <c r="AL154" s="509"/>
      <c r="AM154" s="509"/>
      <c r="AN154" s="509"/>
      <c r="AO154" s="509"/>
      <c r="AP154" s="509"/>
      <c r="AQ154" s="509"/>
      <c r="AR154" s="509"/>
      <c r="AS154" s="509"/>
      <c r="AT154" s="509"/>
      <c r="AU154" s="509"/>
      <c r="AV154" s="509"/>
      <c r="AW154" s="509"/>
      <c r="AX154" s="509"/>
      <c r="AY154" s="509"/>
      <c r="AZ154" s="509"/>
      <c r="BA154" s="509"/>
      <c r="BB154" s="509"/>
      <c r="BC154" s="509"/>
      <c r="BD154" s="509"/>
      <c r="BE154" s="509"/>
      <c r="BF154" s="509"/>
      <c r="BG154" s="509"/>
      <c r="BH154" s="509"/>
      <c r="BI154" s="509"/>
      <c r="BJ154" s="509"/>
      <c r="BK154" s="509"/>
      <c r="BL154" s="509"/>
      <c r="BM154" s="509"/>
      <c r="BN154" s="509"/>
      <c r="BO154" s="509"/>
      <c r="BP154" s="509"/>
      <c r="BQ154" s="509"/>
      <c r="BR154" s="509"/>
      <c r="BS154" s="509"/>
      <c r="BT154" s="509"/>
      <c r="BU154" s="509"/>
      <c r="BV154" s="509"/>
      <c r="BW154" s="509"/>
      <c r="BX154" s="509"/>
      <c r="BY154" s="509"/>
      <c r="BZ154" s="509"/>
      <c r="CA154" s="509"/>
      <c r="CB154" s="509"/>
      <c r="CC154" s="509"/>
      <c r="CD154" s="509"/>
      <c r="CE154" s="509"/>
      <c r="CF154" s="509"/>
      <c r="CG154" s="509"/>
      <c r="CH154" s="509"/>
      <c r="CI154" s="509"/>
      <c r="CJ154" s="509"/>
      <c r="CK154" s="509"/>
      <c r="CL154" s="509"/>
      <c r="CM154" s="509"/>
      <c r="CN154" s="509"/>
      <c r="CO154" s="509"/>
      <c r="CP154" s="509"/>
      <c r="CQ154" s="509"/>
      <c r="CR154" s="509"/>
      <c r="CS154" s="509"/>
      <c r="CT154" s="509"/>
      <c r="CU154" s="509"/>
      <c r="CV154" s="509"/>
      <c r="CW154" s="509"/>
      <c r="CX154" s="509"/>
      <c r="CY154" s="509"/>
      <c r="CZ154" s="509"/>
      <c r="DA154" s="509"/>
      <c r="DB154" s="509"/>
      <c r="DC154" s="509"/>
      <c r="DD154" s="509"/>
      <c r="DE154" s="509"/>
      <c r="DF154" s="509"/>
      <c r="DG154" s="509"/>
      <c r="DH154" s="509"/>
      <c r="DI154" s="509"/>
      <c r="DJ154" s="509"/>
      <c r="DK154" s="509"/>
      <c r="DL154" s="509"/>
      <c r="DM154" s="509"/>
      <c r="DN154" s="509"/>
      <c r="DO154" s="509"/>
      <c r="DP154" s="509"/>
      <c r="DQ154" s="509"/>
      <c r="DR154" s="509"/>
      <c r="DS154" s="509"/>
      <c r="DT154" s="509"/>
      <c r="DU154" s="509"/>
    </row>
    <row r="155" spans="1:150" s="508" customFormat="1" ht="13.5" customHeight="1">
      <c r="A155" s="927" t="s">
        <v>721</v>
      </c>
      <c r="B155" s="850"/>
      <c r="C155" s="445">
        <v>997221611</v>
      </c>
      <c r="D155" s="36" t="s">
        <v>137</v>
      </c>
      <c r="E155" s="36" t="s">
        <v>125</v>
      </c>
      <c r="F155" s="928">
        <f>F154</f>
        <v>55.710999999999999</v>
      </c>
      <c r="G155" s="132"/>
      <c r="H155" s="553">
        <f>F155*G155</f>
        <v>0</v>
      </c>
      <c r="I155" s="449" t="s">
        <v>738</v>
      </c>
      <c r="J155" s="1202"/>
      <c r="K155" s="929"/>
      <c r="L155" s="929"/>
      <c r="M155" s="929"/>
      <c r="N155" s="929"/>
      <c r="O155" s="929"/>
      <c r="P155" s="929"/>
      <c r="Q155" s="1202"/>
      <c r="R155" s="509"/>
      <c r="S155" s="509"/>
      <c r="T155" s="509"/>
      <c r="U155" s="509"/>
      <c r="V155" s="509"/>
      <c r="W155" s="509"/>
      <c r="X155" s="509"/>
      <c r="Y155" s="509"/>
      <c r="Z155" s="509"/>
      <c r="AA155" s="509"/>
      <c r="AB155" s="509"/>
      <c r="AC155" s="509"/>
      <c r="AD155" s="509"/>
      <c r="AE155" s="509"/>
      <c r="AF155" s="509"/>
      <c r="AG155" s="509"/>
      <c r="AH155" s="509"/>
      <c r="AI155" s="509"/>
      <c r="AJ155" s="509"/>
      <c r="AK155" s="509"/>
      <c r="AL155" s="509"/>
      <c r="AM155" s="509"/>
      <c r="AN155" s="509"/>
      <c r="AO155" s="509"/>
      <c r="AP155" s="509"/>
      <c r="AQ155" s="509"/>
      <c r="AR155" s="509"/>
      <c r="AS155" s="509"/>
      <c r="AT155" s="509"/>
      <c r="AU155" s="509"/>
      <c r="AV155" s="509"/>
      <c r="AW155" s="509"/>
      <c r="AX155" s="509"/>
      <c r="AY155" s="509"/>
      <c r="AZ155" s="509"/>
      <c r="BA155" s="509"/>
      <c r="BB155" s="509"/>
      <c r="BC155" s="509"/>
      <c r="BD155" s="509"/>
      <c r="BE155" s="509"/>
      <c r="BF155" s="509"/>
      <c r="BG155" s="509"/>
      <c r="BH155" s="509"/>
      <c r="BI155" s="509"/>
      <c r="BJ155" s="509"/>
      <c r="BK155" s="509"/>
      <c r="BL155" s="509"/>
      <c r="BM155" s="509"/>
      <c r="BN155" s="509"/>
      <c r="BO155" s="509"/>
      <c r="BP155" s="509"/>
      <c r="BQ155" s="509"/>
      <c r="BR155" s="509"/>
      <c r="BS155" s="509"/>
      <c r="BT155" s="509"/>
      <c r="BU155" s="509"/>
      <c r="BV155" s="509"/>
      <c r="BW155" s="509"/>
      <c r="BX155" s="509"/>
      <c r="BY155" s="509"/>
      <c r="BZ155" s="509"/>
      <c r="CA155" s="509"/>
      <c r="CB155" s="509"/>
      <c r="CC155" s="509"/>
      <c r="CD155" s="509"/>
      <c r="CE155" s="509"/>
      <c r="CF155" s="509"/>
      <c r="CG155" s="509"/>
      <c r="CH155" s="509"/>
      <c r="CI155" s="509"/>
      <c r="CJ155" s="509"/>
      <c r="CK155" s="509"/>
      <c r="CL155" s="509"/>
      <c r="CM155" s="509"/>
      <c r="CN155" s="509"/>
      <c r="CO155" s="509"/>
      <c r="CP155" s="509"/>
      <c r="CQ155" s="509"/>
      <c r="CR155" s="509"/>
      <c r="CS155" s="509"/>
      <c r="CT155" s="509"/>
      <c r="CU155" s="509"/>
      <c r="CV155" s="509"/>
      <c r="CW155" s="509"/>
      <c r="CX155" s="509"/>
      <c r="CY155" s="509"/>
      <c r="CZ155" s="509"/>
      <c r="DA155" s="509"/>
      <c r="DB155" s="509"/>
      <c r="DC155" s="509"/>
      <c r="DD155" s="509"/>
      <c r="DE155" s="509"/>
      <c r="DF155" s="509"/>
      <c r="DG155" s="509"/>
      <c r="DH155" s="509"/>
      <c r="DI155" s="509"/>
      <c r="DJ155" s="509"/>
      <c r="DK155" s="509"/>
      <c r="DL155" s="509"/>
      <c r="DM155" s="509"/>
      <c r="DN155" s="509"/>
      <c r="DO155" s="509"/>
      <c r="DP155" s="509"/>
      <c r="DQ155" s="509"/>
      <c r="DR155" s="509"/>
      <c r="DS155" s="509"/>
      <c r="DT155" s="509"/>
      <c r="DU155" s="509"/>
    </row>
    <row r="156" spans="1:150" s="508" customFormat="1" ht="13.5" customHeight="1">
      <c r="A156" s="927" t="s">
        <v>722</v>
      </c>
      <c r="B156" s="850"/>
      <c r="C156" s="445">
        <v>997221561</v>
      </c>
      <c r="D156" s="36" t="s">
        <v>142</v>
      </c>
      <c r="E156" s="36" t="s">
        <v>125</v>
      </c>
      <c r="F156" s="928">
        <f>F153</f>
        <v>55.710999999999999</v>
      </c>
      <c r="G156" s="132"/>
      <c r="H156" s="930">
        <f>F156*G156</f>
        <v>0</v>
      </c>
      <c r="I156" s="449" t="s">
        <v>738</v>
      </c>
      <c r="J156" s="1202"/>
      <c r="K156" s="929"/>
      <c r="L156" s="929"/>
      <c r="M156" s="929"/>
      <c r="N156" s="929"/>
      <c r="O156" s="929"/>
      <c r="P156" s="929"/>
      <c r="Q156" s="1202"/>
      <c r="R156" s="509"/>
      <c r="S156" s="509"/>
      <c r="T156" s="509"/>
      <c r="U156" s="509"/>
      <c r="V156" s="509"/>
      <c r="W156" s="509"/>
      <c r="X156" s="509"/>
      <c r="Y156" s="509"/>
      <c r="Z156" s="509"/>
      <c r="AA156" s="509"/>
      <c r="AB156" s="509"/>
      <c r="AC156" s="509"/>
      <c r="AD156" s="509"/>
      <c r="AE156" s="509"/>
      <c r="AF156" s="509"/>
      <c r="AG156" s="509"/>
      <c r="AH156" s="509"/>
      <c r="AI156" s="509"/>
      <c r="AJ156" s="509"/>
      <c r="AK156" s="509"/>
      <c r="AL156" s="509"/>
      <c r="AM156" s="509"/>
      <c r="AN156" s="509"/>
      <c r="AO156" s="509"/>
      <c r="AP156" s="509"/>
      <c r="AQ156" s="509"/>
      <c r="AR156" s="509"/>
      <c r="AS156" s="509"/>
      <c r="AT156" s="509"/>
      <c r="AU156" s="509"/>
      <c r="AV156" s="509"/>
      <c r="AW156" s="509"/>
      <c r="AX156" s="509"/>
      <c r="AY156" s="509"/>
      <c r="AZ156" s="509"/>
      <c r="BA156" s="509"/>
      <c r="BB156" s="509"/>
      <c r="BC156" s="509"/>
      <c r="BD156" s="509"/>
      <c r="BE156" s="509"/>
      <c r="BF156" s="509"/>
      <c r="BG156" s="509"/>
      <c r="BH156" s="509"/>
      <c r="BI156" s="509"/>
      <c r="BJ156" s="509"/>
      <c r="BK156" s="509"/>
      <c r="BL156" s="509"/>
      <c r="BM156" s="509"/>
      <c r="BN156" s="509"/>
      <c r="BO156" s="509"/>
      <c r="BP156" s="509"/>
      <c r="BQ156" s="509"/>
      <c r="BR156" s="509"/>
      <c r="BS156" s="509"/>
      <c r="BT156" s="509"/>
      <c r="BU156" s="509"/>
      <c r="BV156" s="509"/>
      <c r="BW156" s="509"/>
      <c r="BX156" s="509"/>
      <c r="BY156" s="509"/>
      <c r="BZ156" s="509"/>
      <c r="CA156" s="509"/>
      <c r="CB156" s="509"/>
      <c r="CC156" s="509"/>
      <c r="CD156" s="509"/>
      <c r="CE156" s="509"/>
      <c r="CF156" s="509"/>
      <c r="CG156" s="509"/>
      <c r="CH156" s="509"/>
      <c r="CI156" s="509"/>
      <c r="CJ156" s="509"/>
      <c r="CK156" s="509"/>
      <c r="CL156" s="509"/>
      <c r="CM156" s="509"/>
      <c r="CN156" s="509"/>
      <c r="CO156" s="509"/>
      <c r="CP156" s="509"/>
      <c r="CQ156" s="509"/>
      <c r="CR156" s="509"/>
      <c r="CS156" s="509"/>
      <c r="CT156" s="509"/>
      <c r="CU156" s="509"/>
      <c r="CV156" s="509"/>
      <c r="CW156" s="509"/>
      <c r="CX156" s="509"/>
      <c r="CY156" s="509"/>
      <c r="CZ156" s="509"/>
      <c r="DA156" s="509"/>
      <c r="DB156" s="509"/>
      <c r="DC156" s="509"/>
      <c r="DD156" s="509"/>
      <c r="DE156" s="509"/>
      <c r="DF156" s="509"/>
      <c r="DG156" s="509"/>
      <c r="DH156" s="509"/>
      <c r="DI156" s="509"/>
      <c r="DJ156" s="509"/>
      <c r="DK156" s="509"/>
      <c r="DL156" s="509"/>
      <c r="DM156" s="509"/>
      <c r="DN156" s="509"/>
      <c r="DO156" s="509"/>
      <c r="DP156" s="509"/>
      <c r="DQ156" s="509"/>
      <c r="DR156" s="509"/>
      <c r="DS156" s="509"/>
      <c r="DT156" s="509"/>
      <c r="DU156" s="509"/>
    </row>
    <row r="157" spans="1:150" s="508" customFormat="1" ht="27" customHeight="1">
      <c r="A157" s="927" t="s">
        <v>723</v>
      </c>
      <c r="B157" s="850"/>
      <c r="C157" s="445">
        <v>997221569</v>
      </c>
      <c r="D157" s="36" t="s">
        <v>143</v>
      </c>
      <c r="E157" s="36" t="s">
        <v>125</v>
      </c>
      <c r="F157" s="928">
        <f>5*F154</f>
        <v>278.55500000000001</v>
      </c>
      <c r="G157" s="132"/>
      <c r="H157" s="930">
        <f>F157*G157</f>
        <v>0</v>
      </c>
      <c r="I157" s="449" t="s">
        <v>738</v>
      </c>
      <c r="J157" s="661"/>
      <c r="K157" s="929"/>
      <c r="L157" s="929"/>
      <c r="M157" s="929"/>
      <c r="N157" s="929"/>
      <c r="O157" s="929"/>
      <c r="P157" s="929"/>
      <c r="Q157" s="661"/>
      <c r="R157" s="509"/>
      <c r="S157" s="509"/>
      <c r="T157" s="509"/>
      <c r="U157" s="509"/>
      <c r="V157" s="509"/>
      <c r="W157" s="509"/>
      <c r="X157" s="509"/>
      <c r="Y157" s="509"/>
      <c r="Z157" s="509"/>
      <c r="AA157" s="509"/>
      <c r="AB157" s="509"/>
      <c r="AC157" s="509"/>
      <c r="AD157" s="509"/>
      <c r="AE157" s="509"/>
      <c r="AF157" s="509"/>
      <c r="AG157" s="509"/>
      <c r="AH157" s="509"/>
      <c r="AI157" s="509"/>
      <c r="AJ157" s="509"/>
      <c r="AK157" s="509"/>
      <c r="AL157" s="509"/>
      <c r="AM157" s="509"/>
      <c r="AN157" s="509"/>
      <c r="AO157" s="509"/>
      <c r="AP157" s="509"/>
      <c r="AQ157" s="509"/>
      <c r="AR157" s="509"/>
      <c r="AS157" s="509"/>
      <c r="AT157" s="509"/>
      <c r="AU157" s="509"/>
      <c r="AV157" s="509"/>
      <c r="AW157" s="509"/>
      <c r="AX157" s="509"/>
      <c r="AY157" s="509"/>
      <c r="AZ157" s="509"/>
      <c r="BA157" s="509"/>
      <c r="BB157" s="509"/>
      <c r="BC157" s="509"/>
      <c r="BD157" s="509"/>
      <c r="BE157" s="509"/>
      <c r="BF157" s="509"/>
      <c r="BG157" s="509"/>
      <c r="BH157" s="509"/>
      <c r="BI157" s="509"/>
      <c r="BJ157" s="509"/>
      <c r="BK157" s="509"/>
      <c r="BL157" s="509"/>
      <c r="BM157" s="509"/>
      <c r="BN157" s="509"/>
      <c r="BO157" s="509"/>
      <c r="BP157" s="509"/>
      <c r="BQ157" s="509"/>
      <c r="BR157" s="509"/>
      <c r="BS157" s="509"/>
      <c r="BT157" s="509"/>
      <c r="BU157" s="509"/>
      <c r="BV157" s="509"/>
      <c r="BW157" s="509"/>
      <c r="BX157" s="509"/>
      <c r="BY157" s="509"/>
      <c r="BZ157" s="509"/>
      <c r="CA157" s="509"/>
      <c r="CB157" s="509"/>
      <c r="CC157" s="509"/>
      <c r="CD157" s="509"/>
      <c r="CE157" s="509"/>
      <c r="CF157" s="509"/>
      <c r="CG157" s="509"/>
      <c r="CH157" s="509"/>
      <c r="CI157" s="509"/>
      <c r="CJ157" s="509"/>
      <c r="CK157" s="509"/>
      <c r="CL157" s="509"/>
      <c r="CM157" s="509"/>
      <c r="CN157" s="509"/>
      <c r="CO157" s="509"/>
      <c r="CP157" s="509"/>
      <c r="CQ157" s="509"/>
      <c r="CR157" s="509"/>
      <c r="CS157" s="509"/>
      <c r="CT157" s="509"/>
      <c r="CU157" s="509"/>
      <c r="CV157" s="509"/>
      <c r="CW157" s="509"/>
      <c r="CX157" s="509"/>
      <c r="CY157" s="509"/>
      <c r="CZ157" s="509"/>
      <c r="DA157" s="509"/>
      <c r="DB157" s="509"/>
      <c r="DC157" s="509"/>
      <c r="DD157" s="509"/>
      <c r="DE157" s="509"/>
      <c r="DF157" s="509"/>
      <c r="DG157" s="509"/>
      <c r="DH157" s="509"/>
      <c r="DI157" s="509"/>
      <c r="DJ157" s="509"/>
      <c r="DK157" s="509"/>
      <c r="DL157" s="509"/>
      <c r="DM157" s="509"/>
      <c r="DN157" s="509"/>
      <c r="DO157" s="509"/>
      <c r="DP157" s="509"/>
      <c r="DQ157" s="509"/>
      <c r="DR157" s="509"/>
      <c r="DS157" s="509"/>
      <c r="DT157" s="509"/>
      <c r="DU157" s="509"/>
    </row>
    <row r="158" spans="1:150" s="508" customFormat="1" ht="27" customHeight="1">
      <c r="A158" s="927" t="s">
        <v>724</v>
      </c>
      <c r="B158" s="850"/>
      <c r="C158" s="445">
        <v>997221645</v>
      </c>
      <c r="D158" s="36" t="s">
        <v>183</v>
      </c>
      <c r="E158" s="36" t="s">
        <v>125</v>
      </c>
      <c r="F158" s="928">
        <f>F154</f>
        <v>55.710999999999999</v>
      </c>
      <c r="G158" s="132"/>
      <c r="H158" s="553">
        <f>F158*G158</f>
        <v>0</v>
      </c>
      <c r="I158" s="449" t="s">
        <v>738</v>
      </c>
      <c r="J158" s="661"/>
      <c r="K158" s="929"/>
      <c r="L158" s="929"/>
      <c r="M158" s="929"/>
      <c r="N158" s="929"/>
      <c r="O158" s="929"/>
      <c r="P158" s="929"/>
      <c r="Q158" s="661"/>
      <c r="R158" s="509"/>
      <c r="S158" s="509"/>
      <c r="T158" s="509"/>
      <c r="U158" s="509"/>
      <c r="V158" s="509"/>
      <c r="W158" s="509"/>
      <c r="X158" s="509"/>
      <c r="Y158" s="509"/>
      <c r="Z158" s="509"/>
      <c r="AA158" s="509"/>
      <c r="AB158" s="509"/>
      <c r="AC158" s="509"/>
      <c r="AD158" s="509"/>
      <c r="AE158" s="509"/>
      <c r="AF158" s="509"/>
      <c r="AG158" s="509"/>
      <c r="AH158" s="509"/>
      <c r="AI158" s="509"/>
      <c r="AJ158" s="509"/>
      <c r="AK158" s="509"/>
      <c r="AL158" s="509"/>
      <c r="AM158" s="509"/>
      <c r="AN158" s="509"/>
      <c r="AO158" s="509"/>
      <c r="AP158" s="509"/>
      <c r="AQ158" s="509"/>
      <c r="AR158" s="509"/>
      <c r="AS158" s="509"/>
      <c r="AT158" s="509"/>
      <c r="AU158" s="509"/>
      <c r="AV158" s="509"/>
      <c r="AW158" s="509"/>
      <c r="AX158" s="509"/>
      <c r="AY158" s="509"/>
      <c r="AZ158" s="509"/>
      <c r="BA158" s="509"/>
      <c r="BB158" s="509"/>
      <c r="BC158" s="509"/>
      <c r="BD158" s="509"/>
      <c r="BE158" s="509"/>
      <c r="BF158" s="509"/>
      <c r="BG158" s="509"/>
      <c r="BH158" s="509"/>
      <c r="BI158" s="509"/>
      <c r="BJ158" s="509"/>
      <c r="BK158" s="509"/>
      <c r="BL158" s="509"/>
      <c r="BM158" s="509"/>
      <c r="BN158" s="509"/>
      <c r="BO158" s="509"/>
      <c r="BP158" s="509"/>
      <c r="BQ158" s="509"/>
      <c r="BR158" s="509"/>
      <c r="BS158" s="509"/>
      <c r="BT158" s="509"/>
      <c r="BU158" s="509"/>
      <c r="BV158" s="509"/>
      <c r="BW158" s="509"/>
      <c r="BX158" s="509"/>
      <c r="BY158" s="509"/>
      <c r="BZ158" s="509"/>
      <c r="CA158" s="509"/>
      <c r="CB158" s="509"/>
      <c r="CC158" s="509"/>
      <c r="CD158" s="509"/>
      <c r="CE158" s="509"/>
      <c r="CF158" s="509"/>
      <c r="CG158" s="509"/>
      <c r="CH158" s="509"/>
      <c r="CI158" s="509"/>
      <c r="CJ158" s="509"/>
      <c r="CK158" s="509"/>
      <c r="CL158" s="509"/>
      <c r="CM158" s="509"/>
      <c r="CN158" s="509"/>
      <c r="CO158" s="509"/>
      <c r="CP158" s="509"/>
      <c r="CQ158" s="509"/>
      <c r="CR158" s="509"/>
      <c r="CS158" s="509"/>
      <c r="CT158" s="509"/>
      <c r="CU158" s="509"/>
      <c r="CV158" s="509"/>
      <c r="CW158" s="509"/>
      <c r="CX158" s="509"/>
      <c r="CY158" s="509"/>
      <c r="CZ158" s="509"/>
      <c r="DA158" s="509"/>
      <c r="DB158" s="509"/>
      <c r="DC158" s="509"/>
      <c r="DD158" s="509"/>
      <c r="DE158" s="509"/>
      <c r="DF158" s="509"/>
      <c r="DG158" s="509"/>
      <c r="DH158" s="509"/>
      <c r="DI158" s="509"/>
      <c r="DJ158" s="509"/>
      <c r="DK158" s="509"/>
      <c r="DL158" s="509"/>
      <c r="DM158" s="509"/>
      <c r="DN158" s="509"/>
      <c r="DO158" s="509"/>
      <c r="DP158" s="509"/>
      <c r="DQ158" s="509"/>
      <c r="DR158" s="509"/>
      <c r="DS158" s="509"/>
      <c r="DT158" s="509"/>
      <c r="DU158" s="509"/>
    </row>
    <row r="159" spans="1:150" s="508" customFormat="1" ht="67.5" customHeight="1">
      <c r="A159" s="927"/>
      <c r="B159" s="850"/>
      <c r="C159" s="851"/>
      <c r="D159" s="388" t="s">
        <v>195</v>
      </c>
      <c r="E159" s="36"/>
      <c r="F159" s="928"/>
      <c r="G159" s="1203"/>
      <c r="H159" s="532"/>
      <c r="I159" s="697"/>
      <c r="J159" s="1202"/>
      <c r="K159" s="1102"/>
      <c r="L159" s="693"/>
      <c r="M159" s="509"/>
      <c r="N159" s="509"/>
      <c r="O159" s="509"/>
      <c r="P159" s="509"/>
      <c r="Q159" s="509"/>
      <c r="R159" s="509"/>
      <c r="S159" s="509"/>
      <c r="T159" s="509"/>
      <c r="U159" s="509"/>
      <c r="V159" s="509"/>
      <c r="W159" s="509"/>
      <c r="X159" s="509"/>
      <c r="Y159" s="509"/>
      <c r="Z159" s="509"/>
      <c r="AA159" s="509"/>
      <c r="AB159" s="509"/>
      <c r="AC159" s="509"/>
      <c r="AD159" s="509"/>
      <c r="AE159" s="509"/>
      <c r="AF159" s="509"/>
      <c r="AG159" s="509"/>
      <c r="AH159" s="509"/>
      <c r="AI159" s="509"/>
      <c r="AJ159" s="509"/>
      <c r="AK159" s="509"/>
      <c r="AL159" s="509"/>
      <c r="AM159" s="509"/>
      <c r="AN159" s="509"/>
      <c r="AO159" s="509"/>
      <c r="AP159" s="509"/>
      <c r="AQ159" s="509"/>
      <c r="AR159" s="509"/>
      <c r="AS159" s="509"/>
      <c r="AT159" s="509"/>
      <c r="AU159" s="509"/>
      <c r="AV159" s="509"/>
      <c r="AW159" s="509"/>
      <c r="AX159" s="509"/>
      <c r="AY159" s="509"/>
      <c r="AZ159" s="509"/>
      <c r="BA159" s="509"/>
      <c r="BB159" s="509"/>
      <c r="BC159" s="509"/>
      <c r="BD159" s="509"/>
      <c r="BE159" s="509"/>
      <c r="BF159" s="509"/>
      <c r="BG159" s="509"/>
      <c r="BH159" s="509"/>
      <c r="BI159" s="509"/>
      <c r="BJ159" s="509"/>
      <c r="BK159" s="509"/>
      <c r="BL159" s="509"/>
      <c r="BM159" s="509"/>
      <c r="BN159" s="509"/>
      <c r="BO159" s="509"/>
      <c r="BP159" s="509"/>
      <c r="BQ159" s="509"/>
      <c r="BR159" s="509"/>
      <c r="BS159" s="509"/>
      <c r="BT159" s="509"/>
      <c r="BU159" s="509"/>
      <c r="BV159" s="509"/>
      <c r="BW159" s="509"/>
      <c r="BX159" s="509"/>
      <c r="BY159" s="509"/>
      <c r="BZ159" s="509"/>
      <c r="CA159" s="509"/>
      <c r="CB159" s="509"/>
      <c r="CC159" s="509"/>
      <c r="CD159" s="509"/>
      <c r="CE159" s="509"/>
      <c r="CF159" s="509"/>
      <c r="CG159" s="509"/>
      <c r="CH159" s="509"/>
      <c r="CI159" s="509"/>
      <c r="CJ159" s="509"/>
      <c r="CK159" s="509"/>
      <c r="CL159" s="509"/>
      <c r="CM159" s="509"/>
      <c r="CN159" s="509"/>
      <c r="CO159" s="509"/>
      <c r="CP159" s="509"/>
      <c r="CQ159" s="509"/>
      <c r="CR159" s="509"/>
      <c r="CS159" s="509"/>
      <c r="CT159" s="509"/>
      <c r="CU159" s="509"/>
      <c r="CV159" s="509"/>
      <c r="CW159" s="509"/>
      <c r="CX159" s="509"/>
      <c r="CY159" s="509"/>
      <c r="CZ159" s="509"/>
      <c r="DA159" s="509"/>
      <c r="DB159" s="509"/>
      <c r="DC159" s="509"/>
      <c r="DD159" s="509"/>
      <c r="DE159" s="509"/>
      <c r="DF159" s="509"/>
      <c r="DG159" s="509"/>
      <c r="DH159" s="509"/>
      <c r="DI159" s="509"/>
      <c r="DJ159" s="509"/>
      <c r="DK159" s="509"/>
      <c r="DL159" s="509"/>
      <c r="DM159" s="509"/>
      <c r="DN159" s="509"/>
      <c r="DO159" s="509"/>
      <c r="DP159" s="509"/>
      <c r="DQ159" s="509"/>
      <c r="DR159" s="509"/>
      <c r="DS159" s="509"/>
      <c r="DT159" s="509"/>
      <c r="DU159" s="509"/>
    </row>
    <row r="160" spans="1:150" s="29" customFormat="1" ht="13.5" customHeight="1">
      <c r="A160" s="130"/>
      <c r="B160" s="131"/>
      <c r="C160" s="131" t="s">
        <v>145</v>
      </c>
      <c r="D160" s="40" t="s">
        <v>146</v>
      </c>
      <c r="E160" s="40"/>
      <c r="F160" s="41"/>
      <c r="G160" s="116"/>
      <c r="H160" s="83">
        <f>SUM(H161:H163)</f>
        <v>0</v>
      </c>
      <c r="I160" s="138"/>
      <c r="J160" s="26"/>
      <c r="K160" s="26"/>
      <c r="L160" s="825"/>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c r="CG160" s="26"/>
      <c r="CH160" s="26"/>
      <c r="CI160" s="26"/>
      <c r="CJ160" s="26"/>
      <c r="CK160" s="26"/>
      <c r="CL160" s="26"/>
      <c r="CM160" s="26"/>
      <c r="CN160" s="26"/>
      <c r="CO160" s="26"/>
      <c r="CP160" s="26"/>
      <c r="CQ160" s="26"/>
      <c r="CR160" s="26"/>
      <c r="CS160" s="26"/>
      <c r="CT160" s="26"/>
      <c r="CU160" s="26"/>
      <c r="CV160" s="26"/>
      <c r="CW160" s="26"/>
      <c r="CX160" s="26"/>
      <c r="CY160" s="26"/>
      <c r="CZ160" s="26"/>
      <c r="DA160" s="26"/>
      <c r="DB160" s="26"/>
      <c r="DC160" s="26"/>
      <c r="DD160" s="26"/>
      <c r="DE160" s="26"/>
      <c r="DF160" s="26"/>
      <c r="DG160" s="26"/>
      <c r="DH160" s="26"/>
      <c r="DI160" s="26"/>
      <c r="DJ160" s="26"/>
      <c r="DK160" s="26"/>
      <c r="DL160" s="26"/>
      <c r="DM160" s="26"/>
      <c r="DN160" s="26"/>
      <c r="DO160" s="26"/>
      <c r="DP160" s="26"/>
      <c r="DQ160" s="26"/>
      <c r="DR160" s="26"/>
      <c r="DS160" s="26"/>
      <c r="DT160" s="26"/>
      <c r="DU160" s="26"/>
      <c r="DV160" s="26"/>
      <c r="DW160" s="26"/>
      <c r="DX160" s="26"/>
      <c r="DY160" s="26"/>
      <c r="DZ160" s="26"/>
      <c r="EA160" s="26"/>
      <c r="EB160" s="26"/>
      <c r="EC160" s="26"/>
      <c r="ED160" s="26"/>
      <c r="EE160" s="26"/>
      <c r="EF160" s="26"/>
      <c r="EG160" s="26"/>
      <c r="EH160" s="26"/>
      <c r="EI160" s="26"/>
      <c r="EJ160" s="26"/>
      <c r="EK160" s="26"/>
      <c r="EL160" s="26"/>
      <c r="EM160" s="26"/>
      <c r="EN160" s="26"/>
      <c r="EO160" s="26"/>
      <c r="EP160" s="26"/>
      <c r="EQ160" s="26"/>
      <c r="ER160" s="26"/>
      <c r="ES160" s="26"/>
      <c r="ET160" s="26"/>
    </row>
    <row r="161" spans="1:150" s="314" customFormat="1" ht="27" customHeight="1">
      <c r="A161" s="352">
        <v>44</v>
      </c>
      <c r="B161" s="354">
        <v>221</v>
      </c>
      <c r="C161" s="354">
        <v>998225111</v>
      </c>
      <c r="D161" s="354" t="s">
        <v>184</v>
      </c>
      <c r="E161" s="354" t="s">
        <v>125</v>
      </c>
      <c r="F161" s="355">
        <v>186.988</v>
      </c>
      <c r="G161" s="503"/>
      <c r="H161" s="356">
        <f>F161*G161</f>
        <v>0</v>
      </c>
      <c r="I161" s="360" t="s">
        <v>738</v>
      </c>
      <c r="J161" s="1204"/>
      <c r="K161" s="313"/>
      <c r="L161" s="313"/>
      <c r="M161" s="313"/>
      <c r="N161" s="313"/>
      <c r="O161" s="313"/>
      <c r="P161" s="313"/>
      <c r="Q161" s="313"/>
      <c r="R161" s="313"/>
      <c r="S161" s="313"/>
      <c r="T161" s="313"/>
      <c r="U161" s="313"/>
      <c r="V161" s="313"/>
      <c r="W161" s="313"/>
      <c r="X161" s="313"/>
      <c r="Y161" s="313"/>
      <c r="Z161" s="313"/>
      <c r="AA161" s="313"/>
      <c r="AB161" s="313"/>
      <c r="AC161" s="313"/>
      <c r="AD161" s="313"/>
      <c r="AE161" s="313"/>
      <c r="AF161" s="313"/>
      <c r="AG161" s="313"/>
      <c r="AH161" s="313"/>
      <c r="AI161" s="313"/>
      <c r="AJ161" s="313"/>
      <c r="AK161" s="313"/>
      <c r="AL161" s="313"/>
      <c r="AM161" s="313"/>
      <c r="AN161" s="313"/>
      <c r="AO161" s="313"/>
      <c r="AP161" s="313"/>
      <c r="AQ161" s="313"/>
      <c r="AR161" s="313"/>
      <c r="AS161" s="313"/>
      <c r="AT161" s="313"/>
      <c r="AU161" s="313"/>
      <c r="AV161" s="313"/>
      <c r="AW161" s="313"/>
      <c r="AX161" s="313"/>
      <c r="AY161" s="313"/>
      <c r="AZ161" s="313"/>
      <c r="BA161" s="313"/>
      <c r="BB161" s="313"/>
      <c r="BC161" s="313"/>
      <c r="BD161" s="313"/>
      <c r="BE161" s="313"/>
      <c r="BF161" s="313"/>
      <c r="BG161" s="313"/>
      <c r="BH161" s="313"/>
      <c r="BI161" s="313"/>
      <c r="BJ161" s="313"/>
      <c r="BK161" s="313"/>
      <c r="BL161" s="313"/>
      <c r="BM161" s="313"/>
      <c r="BN161" s="313"/>
      <c r="BO161" s="313"/>
      <c r="BP161" s="313"/>
      <c r="BQ161" s="313"/>
      <c r="BR161" s="313"/>
      <c r="BS161" s="313"/>
      <c r="BT161" s="313"/>
      <c r="BU161" s="313"/>
      <c r="BV161" s="313"/>
      <c r="BW161" s="313"/>
      <c r="BX161" s="313"/>
      <c r="BY161" s="313"/>
      <c r="BZ161" s="313"/>
      <c r="CA161" s="313"/>
      <c r="CB161" s="313"/>
      <c r="CC161" s="313"/>
      <c r="CD161" s="313"/>
      <c r="CE161" s="313"/>
      <c r="CF161" s="313"/>
      <c r="CG161" s="313"/>
      <c r="CH161" s="313"/>
      <c r="CI161" s="313"/>
      <c r="CJ161" s="313"/>
      <c r="CK161" s="313"/>
      <c r="CL161" s="313"/>
      <c r="CM161" s="313"/>
      <c r="CN161" s="313"/>
      <c r="CO161" s="313"/>
      <c r="CP161" s="313"/>
      <c r="CQ161" s="313"/>
      <c r="CR161" s="313"/>
      <c r="CS161" s="313"/>
      <c r="CT161" s="313"/>
      <c r="CU161" s="313"/>
      <c r="CV161" s="313"/>
      <c r="CW161" s="313"/>
      <c r="CX161" s="313"/>
      <c r="CY161" s="313"/>
      <c r="CZ161" s="313"/>
      <c r="DA161" s="313"/>
      <c r="DB161" s="313"/>
      <c r="DC161" s="313"/>
      <c r="DD161" s="313"/>
      <c r="DE161" s="313"/>
      <c r="DF161" s="313"/>
      <c r="DG161" s="313"/>
      <c r="DH161" s="313"/>
      <c r="DI161" s="313"/>
      <c r="DJ161" s="313"/>
      <c r="DK161" s="313"/>
      <c r="DL161" s="313"/>
      <c r="DM161" s="313"/>
      <c r="DN161" s="313"/>
      <c r="DO161" s="313"/>
      <c r="DP161" s="313"/>
      <c r="DQ161" s="313"/>
      <c r="DR161" s="313"/>
      <c r="DS161" s="313"/>
      <c r="DT161" s="313"/>
      <c r="DU161" s="313"/>
      <c r="DV161" s="313"/>
      <c r="DW161" s="313"/>
      <c r="DX161" s="313"/>
      <c r="DY161" s="313"/>
      <c r="DZ161" s="313"/>
      <c r="EA161" s="313"/>
      <c r="EB161" s="313"/>
      <c r="EC161" s="313"/>
      <c r="ED161" s="313"/>
      <c r="EE161" s="313"/>
      <c r="EF161" s="313"/>
      <c r="EG161" s="313"/>
      <c r="EH161" s="313"/>
      <c r="EI161" s="313"/>
      <c r="EJ161" s="313"/>
      <c r="EK161" s="313"/>
      <c r="EL161" s="313"/>
      <c r="EM161" s="313"/>
      <c r="EN161" s="313"/>
      <c r="EO161" s="313"/>
      <c r="EP161" s="313"/>
      <c r="EQ161" s="313"/>
      <c r="ER161" s="313"/>
      <c r="ES161" s="313"/>
      <c r="ET161" s="313"/>
    </row>
    <row r="162" spans="1:150" s="29" customFormat="1" ht="13.5" customHeight="1">
      <c r="A162" s="42">
        <v>45</v>
      </c>
      <c r="B162" s="43" t="s">
        <v>148</v>
      </c>
      <c r="C162" s="43" t="s">
        <v>149</v>
      </c>
      <c r="D162" s="43" t="s">
        <v>150</v>
      </c>
      <c r="E162" s="43" t="s">
        <v>151</v>
      </c>
      <c r="F162" s="35">
        <f>F163</f>
        <v>20</v>
      </c>
      <c r="G162" s="1111"/>
      <c r="H162" s="84">
        <f>F162*G162</f>
        <v>0</v>
      </c>
      <c r="I162" s="360" t="s">
        <v>738</v>
      </c>
      <c r="J162" s="1205"/>
      <c r="K162" s="26"/>
      <c r="L162" s="825"/>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c r="CG162" s="26"/>
      <c r="CH162" s="26"/>
      <c r="CI162" s="26"/>
      <c r="CJ162" s="26"/>
      <c r="CK162" s="26"/>
      <c r="CL162" s="26"/>
      <c r="CM162" s="26"/>
      <c r="CN162" s="26"/>
      <c r="CO162" s="26"/>
      <c r="CP162" s="26"/>
      <c r="CQ162" s="26"/>
      <c r="CR162" s="26"/>
      <c r="CS162" s="26"/>
      <c r="CT162" s="26"/>
      <c r="CU162" s="26"/>
      <c r="CV162" s="26"/>
      <c r="CW162" s="26"/>
      <c r="CX162" s="26"/>
      <c r="CY162" s="26"/>
      <c r="CZ162" s="26"/>
      <c r="DA162" s="26"/>
      <c r="DB162" s="26"/>
      <c r="DC162" s="26"/>
      <c r="DD162" s="26"/>
      <c r="DE162" s="26"/>
      <c r="DF162" s="26"/>
      <c r="DG162" s="26"/>
      <c r="DH162" s="26"/>
      <c r="DI162" s="26"/>
      <c r="DJ162" s="26"/>
      <c r="DK162" s="26"/>
      <c r="DL162" s="26"/>
      <c r="DM162" s="26"/>
      <c r="DN162" s="26"/>
      <c r="DO162" s="26"/>
      <c r="DP162" s="26"/>
      <c r="DQ162" s="26"/>
      <c r="DR162" s="26"/>
      <c r="DS162" s="26"/>
      <c r="DT162" s="26"/>
      <c r="DU162" s="26"/>
      <c r="DV162" s="26"/>
      <c r="DW162" s="26"/>
      <c r="DX162" s="26"/>
      <c r="DY162" s="26"/>
      <c r="DZ162" s="26"/>
      <c r="EA162" s="26"/>
      <c r="EB162" s="26"/>
      <c r="EC162" s="26"/>
      <c r="ED162" s="26"/>
      <c r="EE162" s="26"/>
      <c r="EF162" s="26"/>
      <c r="EG162" s="26"/>
      <c r="EH162" s="26"/>
      <c r="EI162" s="26"/>
      <c r="EJ162" s="26"/>
      <c r="EK162" s="26"/>
      <c r="EL162" s="26"/>
      <c r="EM162" s="26"/>
      <c r="EN162" s="26"/>
      <c r="EO162" s="26"/>
      <c r="EP162" s="26"/>
      <c r="EQ162" s="26"/>
      <c r="ER162" s="26"/>
      <c r="ES162" s="26"/>
      <c r="ET162" s="26"/>
    </row>
    <row r="163" spans="1:150" s="29" customFormat="1" ht="27" customHeight="1">
      <c r="A163" s="45"/>
      <c r="B163" s="43"/>
      <c r="C163" s="43"/>
      <c r="D163" s="46" t="s">
        <v>165</v>
      </c>
      <c r="E163" s="43"/>
      <c r="F163" s="47">
        <v>20</v>
      </c>
      <c r="G163" s="84"/>
      <c r="H163" s="84"/>
      <c r="I163" s="44"/>
      <c r="J163" s="1206"/>
      <c r="K163" s="26"/>
      <c r="L163" s="825"/>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c r="CG163" s="26"/>
      <c r="CH163" s="26"/>
      <c r="CI163" s="26"/>
      <c r="CJ163" s="26"/>
      <c r="CK163" s="26"/>
      <c r="CL163" s="26"/>
      <c r="CM163" s="26"/>
      <c r="CN163" s="26"/>
      <c r="CO163" s="26"/>
      <c r="CP163" s="26"/>
      <c r="CQ163" s="26"/>
      <c r="CR163" s="26"/>
      <c r="CS163" s="26"/>
      <c r="CT163" s="26"/>
      <c r="CU163" s="26"/>
      <c r="CV163" s="26"/>
      <c r="CW163" s="26"/>
      <c r="CX163" s="26"/>
      <c r="CY163" s="26"/>
      <c r="CZ163" s="26"/>
      <c r="DA163" s="26"/>
      <c r="DB163" s="26"/>
      <c r="DC163" s="26"/>
      <c r="DD163" s="26"/>
      <c r="DE163" s="26"/>
      <c r="DF163" s="26"/>
      <c r="DG163" s="26"/>
      <c r="DH163" s="26"/>
      <c r="DI163" s="26"/>
      <c r="DJ163" s="26"/>
      <c r="DK163" s="26"/>
      <c r="DL163" s="26"/>
      <c r="DM163" s="26"/>
      <c r="DN163" s="26"/>
      <c r="DO163" s="26"/>
      <c r="DP163" s="26"/>
      <c r="DQ163" s="26"/>
      <c r="DR163" s="26"/>
      <c r="DS163" s="26"/>
      <c r="DT163" s="26"/>
      <c r="DU163" s="26"/>
      <c r="DV163" s="26"/>
      <c r="DW163" s="26"/>
      <c r="DX163" s="26"/>
      <c r="DY163" s="26"/>
      <c r="DZ163" s="26"/>
      <c r="EA163" s="26"/>
      <c r="EB163" s="26"/>
      <c r="EC163" s="26"/>
      <c r="ED163" s="26"/>
      <c r="EE163" s="26"/>
      <c r="EF163" s="26"/>
      <c r="EG163" s="26"/>
      <c r="EH163" s="26"/>
      <c r="EI163" s="26"/>
      <c r="EJ163" s="26"/>
      <c r="EK163" s="26"/>
      <c r="EL163" s="26"/>
      <c r="EM163" s="26"/>
      <c r="EN163" s="26"/>
      <c r="EO163" s="26"/>
      <c r="EP163" s="26"/>
      <c r="EQ163" s="26"/>
      <c r="ER163" s="26"/>
      <c r="ES163" s="26"/>
      <c r="ET163" s="26"/>
    </row>
    <row r="164" spans="1:150" s="29" customFormat="1" ht="21" customHeight="1">
      <c r="A164" s="48"/>
      <c r="B164" s="49"/>
      <c r="C164" s="49"/>
      <c r="D164" s="49" t="s">
        <v>18</v>
      </c>
      <c r="E164" s="49"/>
      <c r="F164" s="50"/>
      <c r="G164" s="51"/>
      <c r="H164" s="51">
        <f>H9</f>
        <v>0</v>
      </c>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c r="CG164" s="26"/>
      <c r="CH164" s="26"/>
      <c r="CI164" s="26"/>
      <c r="CJ164" s="26"/>
      <c r="CK164" s="26"/>
      <c r="CL164" s="26"/>
      <c r="CM164" s="26"/>
      <c r="CN164" s="26"/>
      <c r="CO164" s="26"/>
      <c r="CP164" s="26"/>
      <c r="CQ164" s="26"/>
      <c r="CR164" s="26"/>
      <c r="CS164" s="26"/>
      <c r="CT164" s="26"/>
      <c r="CU164" s="26"/>
      <c r="CV164" s="26"/>
      <c r="CW164" s="26"/>
      <c r="CX164" s="26"/>
      <c r="CY164" s="26"/>
      <c r="CZ164" s="26"/>
      <c r="DA164" s="26"/>
      <c r="DB164" s="26"/>
      <c r="DC164" s="26"/>
      <c r="DD164" s="26"/>
      <c r="DE164" s="26"/>
      <c r="DF164" s="26"/>
      <c r="DG164" s="26"/>
      <c r="DH164" s="26"/>
      <c r="DI164" s="26"/>
      <c r="DJ164" s="26"/>
      <c r="DK164" s="26"/>
      <c r="DL164" s="26"/>
      <c r="DM164" s="26"/>
      <c r="DN164" s="26"/>
      <c r="DO164" s="26"/>
      <c r="DP164" s="26"/>
      <c r="DQ164" s="26"/>
      <c r="DR164" s="26"/>
      <c r="DS164" s="26"/>
      <c r="DT164" s="26"/>
      <c r="DU164" s="26"/>
      <c r="DV164" s="26"/>
      <c r="DW164" s="26"/>
      <c r="DX164" s="26"/>
      <c r="DY164" s="26"/>
      <c r="DZ164" s="26"/>
      <c r="EA164" s="26"/>
      <c r="EB164" s="26"/>
      <c r="EC164" s="26"/>
      <c r="ED164" s="26"/>
      <c r="EE164" s="26"/>
      <c r="EF164" s="26"/>
      <c r="EG164" s="26"/>
      <c r="EH164" s="26"/>
      <c r="EI164" s="26"/>
      <c r="EJ164" s="26"/>
      <c r="EK164" s="26"/>
      <c r="EL164" s="26"/>
      <c r="EM164" s="26"/>
      <c r="EN164" s="26"/>
      <c r="EO164" s="26"/>
      <c r="EP164" s="26"/>
      <c r="EQ164" s="26"/>
      <c r="ER164" s="26"/>
      <c r="ES164" s="26"/>
      <c r="ET164" s="26"/>
    </row>
    <row r="166" spans="1:150" s="29" customFormat="1" ht="13.5" customHeight="1">
      <c r="A166" s="146" t="s">
        <v>88</v>
      </c>
      <c r="B166" s="147"/>
      <c r="C166" s="148"/>
      <c r="D166" s="57" t="s">
        <v>152</v>
      </c>
      <c r="E166" s="58"/>
      <c r="F166" s="59"/>
      <c r="G166" s="60"/>
      <c r="H166" s="61">
        <f>H164</f>
        <v>0</v>
      </c>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c r="CL166" s="26"/>
      <c r="CM166" s="26"/>
      <c r="CN166" s="26"/>
      <c r="CO166" s="26"/>
      <c r="CP166" s="26"/>
      <c r="CQ166" s="26"/>
      <c r="CR166" s="26"/>
      <c r="CS166" s="26"/>
      <c r="CT166" s="26"/>
      <c r="CU166" s="26"/>
      <c r="CV166" s="26"/>
      <c r="CW166" s="26"/>
      <c r="CX166" s="26"/>
      <c r="CY166" s="26"/>
      <c r="CZ166" s="26"/>
      <c r="DA166" s="26"/>
      <c r="DB166" s="26"/>
      <c r="DC166" s="26"/>
      <c r="DD166" s="26"/>
      <c r="DE166" s="26"/>
      <c r="DF166" s="26"/>
      <c r="DG166" s="26"/>
      <c r="DH166" s="26"/>
      <c r="DI166" s="26"/>
      <c r="DJ166" s="26"/>
      <c r="DK166" s="26"/>
      <c r="DL166" s="26"/>
      <c r="DM166" s="26"/>
      <c r="DN166" s="26"/>
      <c r="DO166" s="26"/>
      <c r="DP166" s="26"/>
      <c r="DQ166" s="26"/>
      <c r="DR166" s="26"/>
      <c r="DS166" s="26"/>
      <c r="DT166" s="26"/>
      <c r="DU166" s="26"/>
      <c r="DV166" s="26"/>
      <c r="DW166" s="26"/>
      <c r="DX166" s="26"/>
      <c r="DY166" s="26"/>
      <c r="DZ166" s="26"/>
      <c r="EA166" s="26"/>
      <c r="EB166" s="26"/>
      <c r="EC166" s="26"/>
      <c r="ED166" s="26"/>
      <c r="EE166" s="26"/>
      <c r="EF166" s="26"/>
      <c r="EG166" s="26"/>
      <c r="EH166" s="26"/>
      <c r="EI166" s="26"/>
      <c r="EJ166" s="26"/>
      <c r="EK166" s="26"/>
      <c r="EL166" s="26"/>
      <c r="EM166" s="26"/>
      <c r="EN166" s="26"/>
      <c r="EO166" s="26"/>
      <c r="EP166" s="26"/>
      <c r="EQ166" s="26"/>
      <c r="ER166" s="26"/>
      <c r="ES166" s="26"/>
      <c r="ET166" s="26"/>
    </row>
    <row r="167" spans="1:150" s="29" customFormat="1" ht="13.5" customHeight="1">
      <c r="A167" s="62"/>
      <c r="B167" s="63"/>
      <c r="C167" s="63"/>
      <c r="D167" s="64"/>
      <c r="E167" s="65"/>
      <c r="F167" s="66"/>
      <c r="G167" s="67"/>
      <c r="H167" s="68"/>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c r="CG167" s="26"/>
      <c r="CH167" s="26"/>
      <c r="CI167" s="26"/>
      <c r="CJ167" s="26"/>
      <c r="CK167" s="26"/>
      <c r="CL167" s="26"/>
      <c r="CM167" s="26"/>
      <c r="CN167" s="26"/>
      <c r="CO167" s="26"/>
      <c r="CP167" s="26"/>
      <c r="CQ167" s="26"/>
      <c r="CR167" s="26"/>
      <c r="CS167" s="26"/>
      <c r="CT167" s="26"/>
      <c r="CU167" s="26"/>
      <c r="CV167" s="26"/>
      <c r="CW167" s="26"/>
      <c r="CX167" s="26"/>
      <c r="CY167" s="26"/>
      <c r="CZ167" s="26"/>
      <c r="DA167" s="26"/>
      <c r="DB167" s="26"/>
      <c r="DC167" s="26"/>
      <c r="DD167" s="26"/>
      <c r="DE167" s="26"/>
      <c r="DF167" s="26"/>
      <c r="DG167" s="26"/>
      <c r="DH167" s="26"/>
      <c r="DI167" s="26"/>
      <c r="DJ167" s="26"/>
      <c r="DK167" s="26"/>
      <c r="DL167" s="26"/>
      <c r="DM167" s="26"/>
      <c r="DN167" s="26"/>
      <c r="DO167" s="26"/>
      <c r="DP167" s="26"/>
      <c r="DQ167" s="26"/>
      <c r="DR167" s="26"/>
      <c r="DS167" s="26"/>
      <c r="DT167" s="26"/>
      <c r="DU167" s="26"/>
      <c r="DV167" s="26"/>
      <c r="DW167" s="26"/>
      <c r="DX167" s="26"/>
      <c r="DY167" s="26"/>
      <c r="DZ167" s="26"/>
      <c r="EA167" s="26"/>
      <c r="EB167" s="26"/>
      <c r="EC167" s="26"/>
      <c r="ED167" s="26"/>
      <c r="EE167" s="26"/>
      <c r="EF167" s="26"/>
      <c r="EG167" s="26"/>
      <c r="EH167" s="26"/>
      <c r="EI167" s="26"/>
      <c r="EJ167" s="26"/>
      <c r="EK167" s="26"/>
      <c r="EL167" s="26"/>
      <c r="EM167" s="26"/>
      <c r="EN167" s="26"/>
      <c r="EO167" s="26"/>
      <c r="EP167" s="26"/>
      <c r="EQ167" s="26"/>
      <c r="ER167" s="26"/>
      <c r="ES167" s="26"/>
      <c r="ET167" s="26"/>
    </row>
    <row r="168" spans="1:150" s="307" customFormat="1" ht="11.25">
      <c r="A168" s="69" t="s">
        <v>22</v>
      </c>
      <c r="B168" s="69"/>
      <c r="C168" s="69"/>
      <c r="D168" s="69"/>
      <c r="E168" s="69"/>
      <c r="F168" s="69"/>
      <c r="G168" s="69"/>
      <c r="H168" s="69"/>
      <c r="I168" s="69"/>
      <c r="J168" s="69"/>
      <c r="K168" s="69"/>
      <c r="L168" s="69"/>
      <c r="M168" s="69"/>
      <c r="N168" s="69"/>
      <c r="O168" s="69"/>
      <c r="P168" s="69"/>
      <c r="Q168" s="69"/>
      <c r="R168" s="69"/>
      <c r="S168" s="69"/>
      <c r="T168" s="69"/>
      <c r="U168" s="69"/>
      <c r="V168" s="69"/>
      <c r="W168" s="69"/>
      <c r="X168" s="69"/>
      <c r="Y168" s="69"/>
      <c r="Z168" s="69"/>
      <c r="AA168" s="69"/>
      <c r="AB168" s="69"/>
      <c r="AC168" s="69"/>
      <c r="AD168" s="69"/>
      <c r="AE168" s="69"/>
      <c r="AF168" s="69"/>
      <c r="AG168" s="69"/>
      <c r="AH168" s="69"/>
      <c r="AI168" s="69"/>
      <c r="AJ168" s="69"/>
      <c r="AK168" s="69"/>
      <c r="AL168" s="69"/>
      <c r="AM168" s="69"/>
      <c r="AN168" s="69"/>
      <c r="AO168" s="69"/>
      <c r="AP168" s="69"/>
      <c r="AQ168" s="69"/>
      <c r="AR168" s="69"/>
      <c r="AS168" s="69"/>
      <c r="AT168" s="69"/>
      <c r="AU168" s="69"/>
      <c r="AV168" s="69"/>
      <c r="AW168" s="69"/>
      <c r="AX168" s="69"/>
      <c r="AY168" s="69"/>
      <c r="AZ168" s="69"/>
      <c r="BA168" s="69"/>
      <c r="BB168" s="69"/>
      <c r="BC168" s="69"/>
      <c r="BD168" s="69"/>
      <c r="BE168" s="69"/>
      <c r="BF168" s="69"/>
      <c r="BG168" s="69"/>
      <c r="BH168" s="69"/>
      <c r="BI168" s="69"/>
      <c r="BJ168" s="69"/>
      <c r="BK168" s="69"/>
      <c r="BL168" s="69"/>
      <c r="BM168" s="69"/>
      <c r="BN168" s="69"/>
      <c r="BO168" s="69"/>
      <c r="BP168" s="69"/>
      <c r="BQ168" s="69"/>
      <c r="BR168" s="69"/>
      <c r="BS168" s="69"/>
      <c r="BT168" s="69"/>
      <c r="BU168" s="69"/>
      <c r="BV168" s="69"/>
      <c r="BW168" s="69"/>
      <c r="BX168" s="69"/>
      <c r="BY168" s="69"/>
      <c r="BZ168" s="69"/>
      <c r="CA168" s="69"/>
      <c r="CB168" s="69"/>
      <c r="CC168" s="69"/>
      <c r="CD168" s="69"/>
      <c r="CE168" s="69"/>
      <c r="CF168" s="69"/>
      <c r="CG168" s="69"/>
      <c r="CH168" s="69"/>
      <c r="CI168" s="69"/>
      <c r="CJ168" s="69"/>
      <c r="CK168" s="69"/>
      <c r="CL168" s="69"/>
      <c r="CM168" s="69"/>
      <c r="CN168" s="69"/>
      <c r="CO168" s="69"/>
      <c r="CP168" s="69"/>
      <c r="CQ168" s="69"/>
      <c r="CR168" s="69"/>
      <c r="CS168" s="69"/>
      <c r="CT168" s="69"/>
      <c r="CU168" s="69"/>
      <c r="CV168" s="69"/>
      <c r="CW168" s="69"/>
      <c r="CX168" s="69"/>
      <c r="CY168" s="69"/>
      <c r="CZ168" s="69"/>
      <c r="DA168" s="69"/>
      <c r="DB168" s="69"/>
      <c r="DC168" s="69"/>
      <c r="DD168" s="69"/>
      <c r="DE168" s="69"/>
      <c r="DF168" s="69"/>
      <c r="DG168" s="69"/>
      <c r="DH168" s="69"/>
      <c r="DI168" s="69"/>
      <c r="DJ168" s="69"/>
      <c r="DK168" s="69"/>
      <c r="DL168" s="69"/>
      <c r="DM168" s="69"/>
      <c r="DN168" s="69"/>
      <c r="DO168" s="69"/>
      <c r="DP168" s="69"/>
      <c r="DQ168" s="69"/>
      <c r="DR168" s="69"/>
      <c r="DS168" s="69"/>
      <c r="DT168" s="69"/>
      <c r="DU168" s="69"/>
      <c r="DV168" s="69"/>
      <c r="DW168" s="69"/>
      <c r="DX168" s="69"/>
      <c r="DY168" s="69"/>
      <c r="DZ168" s="69"/>
      <c r="EA168" s="69"/>
      <c r="EB168" s="69"/>
      <c r="EC168" s="69"/>
      <c r="ED168" s="69"/>
      <c r="EE168" s="69"/>
      <c r="EF168" s="69"/>
      <c r="EG168" s="69"/>
      <c r="EH168" s="69"/>
      <c r="EI168" s="69"/>
      <c r="EJ168" s="69"/>
      <c r="EK168" s="69"/>
      <c r="EL168" s="69"/>
      <c r="EM168" s="69"/>
      <c r="EN168" s="69"/>
      <c r="EO168" s="69"/>
      <c r="EP168" s="69"/>
      <c r="EQ168" s="69"/>
      <c r="ER168" s="69"/>
      <c r="ES168" s="69"/>
      <c r="ET168" s="69"/>
    </row>
    <row r="169" spans="1:150" s="307" customFormat="1" ht="23.45" customHeight="1">
      <c r="A169" s="143" t="s">
        <v>89</v>
      </c>
      <c r="B169" s="149"/>
      <c r="C169" s="149"/>
      <c r="D169" s="149"/>
      <c r="E169" s="149"/>
      <c r="F169" s="149"/>
      <c r="G169" s="14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c r="AE169" s="69"/>
      <c r="AF169" s="69"/>
      <c r="AG169" s="69"/>
      <c r="AH169" s="69"/>
      <c r="AI169" s="69"/>
      <c r="AJ169" s="69"/>
      <c r="AK169" s="69"/>
      <c r="AL169" s="69"/>
      <c r="AM169" s="69"/>
      <c r="AN169" s="69"/>
      <c r="AO169" s="69"/>
      <c r="AP169" s="69"/>
      <c r="AQ169" s="69"/>
      <c r="AR169" s="69"/>
      <c r="AS169" s="69"/>
      <c r="AT169" s="69"/>
      <c r="AU169" s="69"/>
      <c r="AV169" s="69"/>
      <c r="AW169" s="69"/>
      <c r="AX169" s="69"/>
      <c r="AY169" s="69"/>
      <c r="AZ169" s="69"/>
      <c r="BA169" s="69"/>
      <c r="BB169" s="69"/>
      <c r="BC169" s="69"/>
      <c r="BD169" s="69"/>
      <c r="BE169" s="69"/>
      <c r="BF169" s="69"/>
      <c r="BG169" s="69"/>
      <c r="BH169" s="69"/>
      <c r="BI169" s="69"/>
      <c r="BJ169" s="69"/>
      <c r="BK169" s="69"/>
      <c r="BL169" s="69"/>
      <c r="BM169" s="69"/>
      <c r="BN169" s="69"/>
      <c r="BO169" s="69"/>
      <c r="BP169" s="69"/>
      <c r="BQ169" s="69"/>
      <c r="BR169" s="69"/>
      <c r="BS169" s="69"/>
      <c r="BT169" s="69"/>
      <c r="BU169" s="69"/>
      <c r="BV169" s="69"/>
      <c r="BW169" s="69"/>
      <c r="BX169" s="69"/>
      <c r="BY169" s="69"/>
      <c r="BZ169" s="69"/>
      <c r="CA169" s="69"/>
      <c r="CB169" s="69"/>
      <c r="CC169" s="69"/>
      <c r="CD169" s="69"/>
      <c r="CE169" s="69"/>
      <c r="CF169" s="69"/>
      <c r="CG169" s="69"/>
      <c r="CH169" s="69"/>
      <c r="CI169" s="69"/>
      <c r="CJ169" s="69"/>
      <c r="CK169" s="69"/>
      <c r="CL169" s="69"/>
      <c r="CM169" s="69"/>
      <c r="CN169" s="69"/>
      <c r="CO169" s="69"/>
      <c r="CP169" s="69"/>
      <c r="CQ169" s="69"/>
      <c r="CR169" s="69"/>
      <c r="CS169" s="69"/>
      <c r="CT169" s="69"/>
      <c r="CU169" s="69"/>
      <c r="CV169" s="69"/>
      <c r="CW169" s="69"/>
      <c r="CX169" s="69"/>
      <c r="CY169" s="69"/>
      <c r="CZ169" s="69"/>
      <c r="DA169" s="69"/>
      <c r="DB169" s="69"/>
      <c r="DC169" s="69"/>
      <c r="DD169" s="69"/>
      <c r="DE169" s="69"/>
      <c r="DF169" s="69"/>
      <c r="DG169" s="69"/>
      <c r="DH169" s="69"/>
      <c r="DI169" s="69"/>
      <c r="DJ169" s="69"/>
      <c r="DK169" s="69"/>
      <c r="DL169" s="69"/>
      <c r="DM169" s="69"/>
      <c r="DN169" s="69"/>
      <c r="DO169" s="69"/>
      <c r="DP169" s="69"/>
      <c r="DQ169" s="69"/>
      <c r="DR169" s="69"/>
      <c r="DS169" s="69"/>
      <c r="DT169" s="69"/>
      <c r="DU169" s="69"/>
      <c r="DV169" s="69"/>
      <c r="DW169" s="69"/>
      <c r="DX169" s="69"/>
      <c r="DY169" s="69"/>
      <c r="DZ169" s="69"/>
      <c r="EA169" s="69"/>
      <c r="EB169" s="69"/>
      <c r="EC169" s="69"/>
      <c r="ED169" s="69"/>
      <c r="EE169" s="69"/>
      <c r="EF169" s="69"/>
      <c r="EG169" s="69"/>
      <c r="EH169" s="69"/>
      <c r="EI169" s="69"/>
      <c r="EJ169" s="69"/>
      <c r="EK169" s="69"/>
      <c r="EL169" s="69"/>
      <c r="EM169" s="69"/>
      <c r="EN169" s="69"/>
      <c r="EO169" s="69"/>
      <c r="EP169" s="69"/>
      <c r="EQ169" s="69"/>
      <c r="ER169" s="69"/>
      <c r="ES169" s="69"/>
      <c r="ET169" s="69"/>
    </row>
    <row r="170" spans="1:150" s="307" customFormat="1" ht="93.75" customHeight="1">
      <c r="A170" s="143" t="s">
        <v>90</v>
      </c>
      <c r="B170" s="150"/>
      <c r="C170" s="150"/>
      <c r="D170" s="150"/>
      <c r="E170" s="150"/>
      <c r="F170" s="150"/>
      <c r="G170" s="150"/>
      <c r="H170" s="69"/>
      <c r="I170" s="69"/>
      <c r="J170" s="69"/>
      <c r="K170" s="69"/>
      <c r="L170" s="69"/>
      <c r="M170" s="69"/>
      <c r="N170" s="69"/>
      <c r="O170" s="69"/>
      <c r="P170" s="69"/>
      <c r="Q170" s="69"/>
      <c r="R170" s="69"/>
      <c r="S170" s="69"/>
      <c r="T170" s="69"/>
      <c r="U170" s="69"/>
      <c r="V170" s="69"/>
      <c r="W170" s="69"/>
      <c r="X170" s="69"/>
      <c r="Y170" s="69"/>
      <c r="Z170" s="69"/>
      <c r="AA170" s="69"/>
      <c r="AB170" s="69"/>
      <c r="AC170" s="69"/>
      <c r="AD170" s="69"/>
      <c r="AE170" s="69"/>
      <c r="AF170" s="69"/>
      <c r="AG170" s="69"/>
      <c r="AH170" s="69"/>
      <c r="AI170" s="69"/>
      <c r="AJ170" s="69"/>
      <c r="AK170" s="69"/>
      <c r="AL170" s="69"/>
      <c r="AM170" s="69"/>
      <c r="AN170" s="69"/>
      <c r="AO170" s="69"/>
      <c r="AP170" s="69"/>
      <c r="AQ170" s="69"/>
      <c r="AR170" s="69"/>
      <c r="AS170" s="69"/>
      <c r="AT170" s="69"/>
      <c r="AU170" s="69"/>
      <c r="AV170" s="69"/>
      <c r="AW170" s="69"/>
      <c r="AX170" s="69"/>
      <c r="AY170" s="69"/>
      <c r="AZ170" s="69"/>
      <c r="BA170" s="69"/>
      <c r="BB170" s="69"/>
      <c r="BC170" s="69"/>
      <c r="BD170" s="69"/>
      <c r="BE170" s="69"/>
      <c r="BF170" s="69"/>
      <c r="BG170" s="69"/>
      <c r="BH170" s="69"/>
      <c r="BI170" s="69"/>
      <c r="BJ170" s="69"/>
      <c r="BK170" s="69"/>
      <c r="BL170" s="69"/>
      <c r="BM170" s="69"/>
      <c r="BN170" s="69"/>
      <c r="BO170" s="69"/>
      <c r="BP170" s="69"/>
      <c r="BQ170" s="69"/>
      <c r="BR170" s="69"/>
      <c r="BS170" s="69"/>
      <c r="BT170" s="69"/>
      <c r="BU170" s="69"/>
      <c r="BV170" s="69"/>
      <c r="BW170" s="69"/>
      <c r="BX170" s="69"/>
      <c r="BY170" s="69"/>
      <c r="BZ170" s="69"/>
      <c r="CA170" s="69"/>
      <c r="CB170" s="69"/>
      <c r="CC170" s="69"/>
      <c r="CD170" s="69"/>
      <c r="CE170" s="69"/>
      <c r="CF170" s="69"/>
      <c r="CG170" s="69"/>
      <c r="CH170" s="69"/>
      <c r="CI170" s="69"/>
      <c r="CJ170" s="69"/>
      <c r="CK170" s="69"/>
      <c r="CL170" s="69"/>
      <c r="CM170" s="69"/>
      <c r="CN170" s="69"/>
      <c r="CO170" s="69"/>
      <c r="CP170" s="69"/>
      <c r="CQ170" s="69"/>
      <c r="CR170" s="69"/>
      <c r="CS170" s="69"/>
      <c r="CT170" s="69"/>
      <c r="CU170" s="69"/>
      <c r="CV170" s="69"/>
      <c r="CW170" s="69"/>
      <c r="CX170" s="69"/>
      <c r="CY170" s="69"/>
      <c r="CZ170" s="69"/>
      <c r="DA170" s="69"/>
      <c r="DB170" s="69"/>
      <c r="DC170" s="69"/>
      <c r="DD170" s="69"/>
      <c r="DE170" s="69"/>
      <c r="DF170" s="69"/>
      <c r="DG170" s="69"/>
      <c r="DH170" s="69"/>
      <c r="DI170" s="69"/>
      <c r="DJ170" s="69"/>
      <c r="DK170" s="69"/>
      <c r="DL170" s="69"/>
      <c r="DM170" s="69"/>
      <c r="DN170" s="69"/>
      <c r="DO170" s="69"/>
      <c r="DP170" s="69"/>
      <c r="DQ170" s="69"/>
      <c r="DR170" s="69"/>
      <c r="DS170" s="69"/>
      <c r="DT170" s="69"/>
      <c r="DU170" s="69"/>
      <c r="DV170" s="69"/>
      <c r="DW170" s="69"/>
      <c r="DX170" s="69"/>
      <c r="DY170" s="69"/>
      <c r="DZ170" s="69"/>
      <c r="EA170" s="69"/>
      <c r="EB170" s="69"/>
      <c r="EC170" s="69"/>
      <c r="ED170" s="69"/>
      <c r="EE170" s="69"/>
      <c r="EF170" s="69"/>
      <c r="EG170" s="69"/>
      <c r="EH170" s="69"/>
      <c r="EI170" s="69"/>
      <c r="EJ170" s="69"/>
      <c r="EK170" s="69"/>
      <c r="EL170" s="69"/>
      <c r="EM170" s="69"/>
      <c r="EN170" s="69"/>
      <c r="EO170" s="69"/>
      <c r="EP170" s="69"/>
      <c r="EQ170" s="69"/>
      <c r="ER170" s="69"/>
      <c r="ES170" s="69"/>
      <c r="ET170" s="69"/>
    </row>
    <row r="171" spans="1:150" s="1128" customFormat="1" ht="13.5" customHeight="1">
      <c r="A171" s="143" t="s">
        <v>69</v>
      </c>
      <c r="B171" s="144"/>
      <c r="C171" s="144"/>
      <c r="D171" s="144"/>
      <c r="E171" s="144"/>
      <c r="F171" s="144"/>
      <c r="G171" s="144"/>
      <c r="H171" s="70"/>
      <c r="I171" s="71"/>
      <c r="J171" s="1130"/>
      <c r="K171" s="1130"/>
      <c r="L171" s="1130"/>
      <c r="M171" s="1130"/>
      <c r="N171" s="1130"/>
      <c r="O171" s="1130"/>
      <c r="P171" s="1130"/>
      <c r="Q171" s="1130"/>
      <c r="R171" s="1130"/>
      <c r="S171" s="1130"/>
      <c r="T171" s="1130"/>
      <c r="U171" s="1130"/>
      <c r="V171" s="1130"/>
      <c r="W171" s="1130"/>
      <c r="X171" s="1130"/>
      <c r="Y171" s="1130"/>
      <c r="Z171" s="1130"/>
      <c r="AA171" s="1130"/>
      <c r="AB171" s="1130"/>
      <c r="AC171" s="1130"/>
      <c r="AD171" s="1130"/>
      <c r="AE171" s="1130"/>
      <c r="AF171" s="1130"/>
      <c r="AG171" s="1130"/>
      <c r="AH171" s="1130"/>
      <c r="AI171" s="1130"/>
      <c r="AJ171" s="1130"/>
      <c r="AK171" s="1130"/>
      <c r="AL171" s="1130"/>
      <c r="AM171" s="1130"/>
      <c r="AN171" s="1130"/>
      <c r="AO171" s="1130"/>
      <c r="AP171" s="1130"/>
      <c r="AQ171" s="1130"/>
      <c r="AR171" s="1130"/>
      <c r="AS171" s="1130"/>
      <c r="AT171" s="1130"/>
      <c r="AU171" s="1130"/>
      <c r="AV171" s="1130"/>
      <c r="AW171" s="1130"/>
      <c r="AX171" s="1130"/>
      <c r="AY171" s="1130"/>
      <c r="AZ171" s="1130"/>
      <c r="BA171" s="1130"/>
      <c r="BB171" s="1130"/>
      <c r="BC171" s="1130"/>
      <c r="BD171" s="1130"/>
      <c r="BE171" s="1130"/>
      <c r="BF171" s="1130"/>
      <c r="BG171" s="1130"/>
      <c r="BH171" s="1130"/>
      <c r="BI171" s="1130"/>
      <c r="BJ171" s="1130"/>
      <c r="BK171" s="1130"/>
      <c r="BL171" s="1130"/>
      <c r="BM171" s="1130"/>
      <c r="BN171" s="1130"/>
      <c r="BO171" s="1130"/>
      <c r="BP171" s="1130"/>
      <c r="BQ171" s="1130"/>
      <c r="BR171" s="1130"/>
      <c r="BS171" s="1130"/>
      <c r="BT171" s="1130"/>
      <c r="BU171" s="1130"/>
      <c r="BV171" s="1130"/>
      <c r="BW171" s="1130"/>
      <c r="BX171" s="1130"/>
      <c r="BY171" s="1130"/>
      <c r="BZ171" s="1130"/>
      <c r="CA171" s="1130"/>
      <c r="CB171" s="1130"/>
      <c r="CC171" s="1130"/>
      <c r="CD171" s="1130"/>
      <c r="CE171" s="1130"/>
      <c r="CF171" s="1130"/>
      <c r="CG171" s="1130"/>
      <c r="CH171" s="1130"/>
      <c r="CI171" s="1130"/>
      <c r="CJ171" s="1130"/>
      <c r="CK171" s="1130"/>
      <c r="CL171" s="1130"/>
      <c r="CM171" s="1130"/>
      <c r="CN171" s="1130"/>
      <c r="CO171" s="1130"/>
      <c r="CP171" s="1130"/>
      <c r="CQ171" s="1130"/>
      <c r="CR171" s="1130"/>
      <c r="CS171" s="1130"/>
      <c r="CT171" s="1130"/>
      <c r="CU171" s="1130"/>
      <c r="CV171" s="1130"/>
      <c r="CW171" s="1130"/>
      <c r="CX171" s="1130"/>
      <c r="CY171" s="1130"/>
      <c r="CZ171" s="1130"/>
      <c r="DA171" s="1130"/>
      <c r="DB171" s="1130"/>
      <c r="DC171" s="1130"/>
      <c r="DD171" s="1130"/>
      <c r="DE171" s="1130"/>
      <c r="DF171" s="1130"/>
      <c r="DG171" s="1130"/>
      <c r="DH171" s="1130"/>
      <c r="DI171" s="1130"/>
      <c r="DJ171" s="1130"/>
      <c r="DK171" s="1130"/>
      <c r="DL171" s="1130"/>
      <c r="DM171" s="1130"/>
      <c r="DN171" s="1130"/>
      <c r="DO171" s="1130"/>
      <c r="DP171" s="1130"/>
      <c r="DQ171" s="1130"/>
      <c r="DR171" s="1130"/>
      <c r="DS171" s="1130"/>
      <c r="DT171" s="1130"/>
      <c r="DU171" s="1130"/>
      <c r="DV171" s="1130"/>
      <c r="DW171" s="1130"/>
      <c r="DX171" s="1130"/>
      <c r="DY171" s="1130"/>
      <c r="DZ171" s="1130"/>
      <c r="EA171" s="1130"/>
      <c r="EB171" s="1130"/>
      <c r="EC171" s="1130"/>
      <c r="ED171" s="1130"/>
      <c r="EE171" s="1130"/>
      <c r="EF171" s="1130"/>
      <c r="EG171" s="1130"/>
      <c r="EH171" s="1130"/>
      <c r="EI171" s="1130"/>
      <c r="EJ171" s="1130"/>
      <c r="EK171" s="1130"/>
      <c r="EL171" s="1130"/>
      <c r="EM171" s="1130"/>
      <c r="EN171" s="1130"/>
      <c r="EO171" s="1130"/>
      <c r="EP171" s="1130"/>
      <c r="EQ171" s="1130"/>
      <c r="ER171" s="1130"/>
      <c r="ES171" s="1130"/>
      <c r="ET171" s="1130"/>
    </row>
    <row r="172" spans="1:150" s="1128" customFormat="1" ht="13.5" customHeight="1">
      <c r="A172" s="143" t="s">
        <v>70</v>
      </c>
      <c r="B172" s="144"/>
      <c r="C172" s="144"/>
      <c r="D172" s="144"/>
      <c r="E172" s="144"/>
      <c r="F172" s="144"/>
      <c r="G172" s="144"/>
      <c r="H172" s="70"/>
      <c r="I172" s="71"/>
      <c r="J172" s="1130"/>
      <c r="K172" s="1130"/>
      <c r="L172" s="1130"/>
      <c r="M172" s="1130"/>
      <c r="N172" s="1130"/>
      <c r="O172" s="1130"/>
      <c r="P172" s="1130"/>
      <c r="Q172" s="1130"/>
      <c r="R172" s="1130"/>
      <c r="S172" s="1130"/>
      <c r="T172" s="1130"/>
      <c r="U172" s="1130"/>
      <c r="V172" s="1130"/>
      <c r="W172" s="1130"/>
      <c r="X172" s="1130"/>
      <c r="Y172" s="1130"/>
      <c r="Z172" s="1130"/>
      <c r="AA172" s="1130"/>
      <c r="AB172" s="1130"/>
      <c r="AC172" s="1130"/>
      <c r="AD172" s="1130"/>
      <c r="AE172" s="1130"/>
      <c r="AF172" s="1130"/>
      <c r="AG172" s="1130"/>
      <c r="AH172" s="1130"/>
      <c r="AI172" s="1130"/>
      <c r="AJ172" s="1130"/>
      <c r="AK172" s="1130"/>
      <c r="AL172" s="1130"/>
      <c r="AM172" s="1130"/>
      <c r="AN172" s="1130"/>
      <c r="AO172" s="1130"/>
      <c r="AP172" s="1130"/>
      <c r="AQ172" s="1130"/>
      <c r="AR172" s="1130"/>
      <c r="AS172" s="1130"/>
      <c r="AT172" s="1130"/>
      <c r="AU172" s="1130"/>
      <c r="AV172" s="1130"/>
      <c r="AW172" s="1130"/>
      <c r="AX172" s="1130"/>
      <c r="AY172" s="1130"/>
      <c r="AZ172" s="1130"/>
      <c r="BA172" s="1130"/>
      <c r="BB172" s="1130"/>
      <c r="BC172" s="1130"/>
      <c r="BD172" s="1130"/>
      <c r="BE172" s="1130"/>
      <c r="BF172" s="1130"/>
      <c r="BG172" s="1130"/>
      <c r="BH172" s="1130"/>
      <c r="BI172" s="1130"/>
      <c r="BJ172" s="1130"/>
      <c r="BK172" s="1130"/>
      <c r="BL172" s="1130"/>
      <c r="BM172" s="1130"/>
      <c r="BN172" s="1130"/>
      <c r="BO172" s="1130"/>
      <c r="BP172" s="1130"/>
      <c r="BQ172" s="1130"/>
      <c r="BR172" s="1130"/>
      <c r="BS172" s="1130"/>
      <c r="BT172" s="1130"/>
      <c r="BU172" s="1130"/>
      <c r="BV172" s="1130"/>
      <c r="BW172" s="1130"/>
      <c r="BX172" s="1130"/>
      <c r="BY172" s="1130"/>
      <c r="BZ172" s="1130"/>
      <c r="CA172" s="1130"/>
      <c r="CB172" s="1130"/>
      <c r="CC172" s="1130"/>
      <c r="CD172" s="1130"/>
      <c r="CE172" s="1130"/>
      <c r="CF172" s="1130"/>
      <c r="CG172" s="1130"/>
      <c r="CH172" s="1130"/>
      <c r="CI172" s="1130"/>
      <c r="CJ172" s="1130"/>
      <c r="CK172" s="1130"/>
      <c r="CL172" s="1130"/>
      <c r="CM172" s="1130"/>
      <c r="CN172" s="1130"/>
      <c r="CO172" s="1130"/>
      <c r="CP172" s="1130"/>
      <c r="CQ172" s="1130"/>
      <c r="CR172" s="1130"/>
      <c r="CS172" s="1130"/>
      <c r="CT172" s="1130"/>
      <c r="CU172" s="1130"/>
      <c r="CV172" s="1130"/>
      <c r="CW172" s="1130"/>
      <c r="CX172" s="1130"/>
      <c r="CY172" s="1130"/>
      <c r="CZ172" s="1130"/>
      <c r="DA172" s="1130"/>
      <c r="DB172" s="1130"/>
      <c r="DC172" s="1130"/>
      <c r="DD172" s="1130"/>
      <c r="DE172" s="1130"/>
      <c r="DF172" s="1130"/>
      <c r="DG172" s="1130"/>
      <c r="DH172" s="1130"/>
      <c r="DI172" s="1130"/>
      <c r="DJ172" s="1130"/>
      <c r="DK172" s="1130"/>
      <c r="DL172" s="1130"/>
      <c r="DM172" s="1130"/>
      <c r="DN172" s="1130"/>
      <c r="DO172" s="1130"/>
      <c r="DP172" s="1130"/>
      <c r="DQ172" s="1130"/>
      <c r="DR172" s="1130"/>
      <c r="DS172" s="1130"/>
      <c r="DT172" s="1130"/>
      <c r="DU172" s="1130"/>
      <c r="DV172" s="1130"/>
      <c r="DW172" s="1130"/>
      <c r="DX172" s="1130"/>
      <c r="DY172" s="1130"/>
      <c r="DZ172" s="1130"/>
      <c r="EA172" s="1130"/>
      <c r="EB172" s="1130"/>
      <c r="EC172" s="1130"/>
      <c r="ED172" s="1130"/>
      <c r="EE172" s="1130"/>
      <c r="EF172" s="1130"/>
      <c r="EG172" s="1130"/>
      <c r="EH172" s="1130"/>
      <c r="EI172" s="1130"/>
      <c r="EJ172" s="1130"/>
      <c r="EK172" s="1130"/>
      <c r="EL172" s="1130"/>
      <c r="EM172" s="1130"/>
      <c r="EN172" s="1130"/>
      <c r="EO172" s="1130"/>
      <c r="EP172" s="1130"/>
      <c r="EQ172" s="1130"/>
      <c r="ER172" s="1130"/>
      <c r="ES172" s="1130"/>
      <c r="ET172" s="1130"/>
    </row>
    <row r="173" spans="1:150" s="1128" customFormat="1" ht="40.5" customHeight="1">
      <c r="A173" s="1208" t="s">
        <v>432</v>
      </c>
      <c r="B173" s="1208"/>
      <c r="C173" s="1208"/>
      <c r="D173" s="1208"/>
      <c r="E173" s="1208"/>
      <c r="F173" s="1208"/>
      <c r="G173" s="1208"/>
      <c r="H173" s="70"/>
      <c r="I173" s="71"/>
      <c r="J173" s="1130"/>
      <c r="K173" s="1130"/>
      <c r="L173" s="1130"/>
      <c r="M173" s="1130"/>
      <c r="N173" s="1130"/>
      <c r="O173" s="1130"/>
      <c r="P173" s="1130"/>
      <c r="Q173" s="1130"/>
      <c r="R173" s="1130"/>
      <c r="S173" s="1130"/>
      <c r="T173" s="1130"/>
      <c r="U173" s="1130"/>
      <c r="V173" s="1130"/>
      <c r="W173" s="1130"/>
      <c r="X173" s="1130"/>
      <c r="Y173" s="1130"/>
      <c r="Z173" s="1130"/>
      <c r="AA173" s="1130"/>
      <c r="AB173" s="1130"/>
      <c r="AC173" s="1130"/>
      <c r="AD173" s="1130"/>
      <c r="AE173" s="1130"/>
      <c r="AF173" s="1130"/>
      <c r="AG173" s="1130"/>
      <c r="AH173" s="1130"/>
      <c r="AI173" s="1130"/>
      <c r="AJ173" s="1130"/>
      <c r="AK173" s="1130"/>
      <c r="AL173" s="1130"/>
      <c r="AM173" s="1130"/>
      <c r="AN173" s="1130"/>
      <c r="AO173" s="1130"/>
      <c r="AP173" s="1130"/>
      <c r="AQ173" s="1130"/>
      <c r="AR173" s="1130"/>
      <c r="AS173" s="1130"/>
      <c r="AT173" s="1130"/>
      <c r="AU173" s="1130"/>
      <c r="AV173" s="1130"/>
      <c r="AW173" s="1130"/>
      <c r="AX173" s="1130"/>
      <c r="AY173" s="1130"/>
      <c r="AZ173" s="1130"/>
      <c r="BA173" s="1130"/>
      <c r="BB173" s="1130"/>
      <c r="BC173" s="1130"/>
      <c r="BD173" s="1130"/>
      <c r="BE173" s="1130"/>
      <c r="BF173" s="1130"/>
      <c r="BG173" s="1130"/>
      <c r="BH173" s="1130"/>
      <c r="BI173" s="1130"/>
      <c r="BJ173" s="1130"/>
      <c r="BK173" s="1130"/>
      <c r="BL173" s="1130"/>
      <c r="BM173" s="1130"/>
      <c r="BN173" s="1130"/>
      <c r="BO173" s="1130"/>
      <c r="BP173" s="1130"/>
      <c r="BQ173" s="1130"/>
      <c r="BR173" s="1130"/>
      <c r="BS173" s="1130"/>
      <c r="BT173" s="1130"/>
      <c r="BU173" s="1130"/>
      <c r="BV173" s="1130"/>
      <c r="BW173" s="1130"/>
      <c r="BX173" s="1130"/>
      <c r="BY173" s="1130"/>
      <c r="BZ173" s="1130"/>
      <c r="CA173" s="1130"/>
      <c r="CB173" s="1130"/>
      <c r="CC173" s="1130"/>
      <c r="CD173" s="1130"/>
      <c r="CE173" s="1130"/>
      <c r="CF173" s="1130"/>
      <c r="CG173" s="1130"/>
      <c r="CH173" s="1130"/>
      <c r="CI173" s="1130"/>
      <c r="CJ173" s="1130"/>
      <c r="CK173" s="1130"/>
      <c r="CL173" s="1130"/>
      <c r="CM173" s="1130"/>
      <c r="CN173" s="1130"/>
      <c r="CO173" s="1130"/>
      <c r="CP173" s="1130"/>
      <c r="CQ173" s="1130"/>
      <c r="CR173" s="1130"/>
      <c r="CS173" s="1130"/>
      <c r="CT173" s="1130"/>
      <c r="CU173" s="1130"/>
      <c r="CV173" s="1130"/>
      <c r="CW173" s="1130"/>
      <c r="CX173" s="1130"/>
      <c r="CY173" s="1130"/>
      <c r="CZ173" s="1130"/>
      <c r="DA173" s="1130"/>
      <c r="DB173" s="1130"/>
      <c r="DC173" s="1130"/>
      <c r="DD173" s="1130"/>
      <c r="DE173" s="1130"/>
      <c r="DF173" s="1130"/>
      <c r="DG173" s="1130"/>
      <c r="DH173" s="1130"/>
      <c r="DI173" s="1130"/>
      <c r="DJ173" s="1130"/>
      <c r="DK173" s="1130"/>
      <c r="DL173" s="1130"/>
      <c r="DM173" s="1130"/>
      <c r="DN173" s="1130"/>
      <c r="DO173" s="1130"/>
      <c r="DP173" s="1130"/>
      <c r="DQ173" s="1130"/>
      <c r="DR173" s="1130"/>
      <c r="DS173" s="1130"/>
      <c r="DT173" s="1130"/>
      <c r="DU173" s="1130"/>
      <c r="DV173" s="1130"/>
      <c r="DW173" s="1130"/>
      <c r="DX173" s="1130"/>
      <c r="DY173" s="1130"/>
      <c r="DZ173" s="1130"/>
      <c r="EA173" s="1130"/>
      <c r="EB173" s="1130"/>
      <c r="EC173" s="1130"/>
      <c r="ED173" s="1130"/>
      <c r="EE173" s="1130"/>
      <c r="EF173" s="1130"/>
      <c r="EG173" s="1130"/>
      <c r="EH173" s="1130"/>
      <c r="EI173" s="1130"/>
      <c r="EJ173" s="1130"/>
      <c r="EK173" s="1130"/>
      <c r="EL173" s="1130"/>
      <c r="EM173" s="1130"/>
      <c r="EN173" s="1130"/>
      <c r="EO173" s="1130"/>
      <c r="EP173" s="1130"/>
      <c r="EQ173" s="1130"/>
      <c r="ER173" s="1130"/>
      <c r="ES173" s="1130"/>
      <c r="ET173" s="1130"/>
    </row>
  </sheetData>
  <sheetProtection algorithmName="SHA-512" hashValue="kExL72JCAn7DiGkefQ75Z/P1etZi+8JYJLt3Sw2t0UGvF+VOZUBiGHkvCIx5s65TySFEO7114gLFSDbezAeKGQ==" saltValue="EK73UfJHY9yPsI0++lBk0w==" spinCount="100000" sheet="1" objects="1" scenarios="1"/>
  <mergeCells count="8">
    <mergeCell ref="A172:G172"/>
    <mergeCell ref="A173:G173"/>
    <mergeCell ref="A2:D2"/>
    <mergeCell ref="A3:D3"/>
    <mergeCell ref="A166:C166"/>
    <mergeCell ref="A169:G169"/>
    <mergeCell ref="A170:G170"/>
    <mergeCell ref="A171:G171"/>
  </mergeCells>
  <printOptions horizontalCentered="1"/>
  <pageMargins left="0.39370078740157483" right="0.39370078740157483" top="0.59055118110236227" bottom="0.39370078740157483" header="0" footer="0"/>
  <pageSetup paperSize="9" scale="65" fitToHeight="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Q54"/>
  <sheetViews>
    <sheetView workbookViewId="0"/>
  </sheetViews>
  <sheetFormatPr defaultColWidth="14.5703125" defaultRowHeight="12.75"/>
  <cols>
    <col min="1" max="1" width="3.7109375" style="278" customWidth="1"/>
    <col min="2" max="2" width="14.5703125" style="278" customWidth="1"/>
    <col min="3" max="3" width="41.28515625" style="278" customWidth="1"/>
    <col min="4" max="4" width="11.140625" style="278" customWidth="1"/>
    <col min="5" max="5" width="11.28515625" style="278" customWidth="1"/>
    <col min="6" max="7" width="13.7109375" style="278" customWidth="1"/>
    <col min="8" max="8" width="17" style="278" customWidth="1"/>
    <col min="9" max="9" width="9.140625" style="293" customWidth="1"/>
    <col min="10" max="10" width="11.85546875" style="293" customWidth="1"/>
    <col min="11" max="11" width="13.140625" style="293" customWidth="1"/>
    <col min="12" max="13" width="9.140625" style="293" customWidth="1"/>
    <col min="14" max="14" width="11" style="293" customWidth="1"/>
    <col min="15" max="139" width="9.140625" style="293" customWidth="1"/>
    <col min="140" max="249" width="9.140625" style="278" customWidth="1"/>
    <col min="250" max="250" width="3.7109375" style="278" customWidth="1"/>
    <col min="251" max="256" width="14.5703125" style="278"/>
    <col min="257" max="257" width="3.7109375" style="278" customWidth="1"/>
    <col min="258" max="258" width="14.5703125" style="278"/>
    <col min="259" max="259" width="41.28515625" style="278" customWidth="1"/>
    <col min="260" max="260" width="11.140625" style="278" customWidth="1"/>
    <col min="261" max="261" width="11.28515625" style="278" customWidth="1"/>
    <col min="262" max="263" width="13.7109375" style="278" customWidth="1"/>
    <col min="264" max="264" width="17" style="278" customWidth="1"/>
    <col min="265" max="505" width="9.140625" style="278" customWidth="1"/>
    <col min="506" max="506" width="3.7109375" style="278" customWidth="1"/>
    <col min="507" max="512" width="14.5703125" style="278"/>
    <col min="513" max="513" width="3.7109375" style="278" customWidth="1"/>
    <col min="514" max="514" width="14.5703125" style="278"/>
    <col min="515" max="515" width="41.28515625" style="278" customWidth="1"/>
    <col min="516" max="516" width="11.140625" style="278" customWidth="1"/>
    <col min="517" max="517" width="11.28515625" style="278" customWidth="1"/>
    <col min="518" max="519" width="13.7109375" style="278" customWidth="1"/>
    <col min="520" max="520" width="17" style="278" customWidth="1"/>
    <col min="521" max="761" width="9.140625" style="278" customWidth="1"/>
    <col min="762" max="762" width="3.7109375" style="278" customWidth="1"/>
    <col min="763" max="768" width="14.5703125" style="278"/>
    <col min="769" max="769" width="3.7109375" style="278" customWidth="1"/>
    <col min="770" max="770" width="14.5703125" style="278"/>
    <col min="771" max="771" width="41.28515625" style="278" customWidth="1"/>
    <col min="772" max="772" width="11.140625" style="278" customWidth="1"/>
    <col min="773" max="773" width="11.28515625" style="278" customWidth="1"/>
    <col min="774" max="775" width="13.7109375" style="278" customWidth="1"/>
    <col min="776" max="776" width="17" style="278" customWidth="1"/>
    <col min="777" max="1017" width="9.140625" style="278" customWidth="1"/>
    <col min="1018" max="1018" width="3.7109375" style="278" customWidth="1"/>
    <col min="1019" max="1024" width="14.5703125" style="278"/>
    <col min="1025" max="1025" width="3.7109375" style="278" customWidth="1"/>
    <col min="1026" max="1026" width="14.5703125" style="278"/>
    <col min="1027" max="1027" width="41.28515625" style="278" customWidth="1"/>
    <col min="1028" max="1028" width="11.140625" style="278" customWidth="1"/>
    <col min="1029" max="1029" width="11.28515625" style="278" customWidth="1"/>
    <col min="1030" max="1031" width="13.7109375" style="278" customWidth="1"/>
    <col min="1032" max="1032" width="17" style="278" customWidth="1"/>
    <col min="1033" max="1273" width="9.140625" style="278" customWidth="1"/>
    <col min="1274" max="1274" width="3.7109375" style="278" customWidth="1"/>
    <col min="1275" max="1280" width="14.5703125" style="278"/>
    <col min="1281" max="1281" width="3.7109375" style="278" customWidth="1"/>
    <col min="1282" max="1282" width="14.5703125" style="278"/>
    <col min="1283" max="1283" width="41.28515625" style="278" customWidth="1"/>
    <col min="1284" max="1284" width="11.140625" style="278" customWidth="1"/>
    <col min="1285" max="1285" width="11.28515625" style="278" customWidth="1"/>
    <col min="1286" max="1287" width="13.7109375" style="278" customWidth="1"/>
    <col min="1288" max="1288" width="17" style="278" customWidth="1"/>
    <col min="1289" max="1529" width="9.140625" style="278" customWidth="1"/>
    <col min="1530" max="1530" width="3.7109375" style="278" customWidth="1"/>
    <col min="1531" max="1536" width="14.5703125" style="278"/>
    <col min="1537" max="1537" width="3.7109375" style="278" customWidth="1"/>
    <col min="1538" max="1538" width="14.5703125" style="278"/>
    <col min="1539" max="1539" width="41.28515625" style="278" customWidth="1"/>
    <col min="1540" max="1540" width="11.140625" style="278" customWidth="1"/>
    <col min="1541" max="1541" width="11.28515625" style="278" customWidth="1"/>
    <col min="1542" max="1543" width="13.7109375" style="278" customWidth="1"/>
    <col min="1544" max="1544" width="17" style="278" customWidth="1"/>
    <col min="1545" max="1785" width="9.140625" style="278" customWidth="1"/>
    <col min="1786" max="1786" width="3.7109375" style="278" customWidth="1"/>
    <col min="1787" max="1792" width="14.5703125" style="278"/>
    <col min="1793" max="1793" width="3.7109375" style="278" customWidth="1"/>
    <col min="1794" max="1794" width="14.5703125" style="278"/>
    <col min="1795" max="1795" width="41.28515625" style="278" customWidth="1"/>
    <col min="1796" max="1796" width="11.140625" style="278" customWidth="1"/>
    <col min="1797" max="1797" width="11.28515625" style="278" customWidth="1"/>
    <col min="1798" max="1799" width="13.7109375" style="278" customWidth="1"/>
    <col min="1800" max="1800" width="17" style="278" customWidth="1"/>
    <col min="1801" max="2041" width="9.140625" style="278" customWidth="1"/>
    <col min="2042" max="2042" width="3.7109375" style="278" customWidth="1"/>
    <col min="2043" max="2048" width="14.5703125" style="278"/>
    <col min="2049" max="2049" width="3.7109375" style="278" customWidth="1"/>
    <col min="2050" max="2050" width="14.5703125" style="278"/>
    <col min="2051" max="2051" width="41.28515625" style="278" customWidth="1"/>
    <col min="2052" max="2052" width="11.140625" style="278" customWidth="1"/>
    <col min="2053" max="2053" width="11.28515625" style="278" customWidth="1"/>
    <col min="2054" max="2055" width="13.7109375" style="278" customWidth="1"/>
    <col min="2056" max="2056" width="17" style="278" customWidth="1"/>
    <col min="2057" max="2297" width="9.140625" style="278" customWidth="1"/>
    <col min="2298" max="2298" width="3.7109375" style="278" customWidth="1"/>
    <col min="2299" max="2304" width="14.5703125" style="278"/>
    <col min="2305" max="2305" width="3.7109375" style="278" customWidth="1"/>
    <col min="2306" max="2306" width="14.5703125" style="278"/>
    <col min="2307" max="2307" width="41.28515625" style="278" customWidth="1"/>
    <col min="2308" max="2308" width="11.140625" style="278" customWidth="1"/>
    <col min="2309" max="2309" width="11.28515625" style="278" customWidth="1"/>
    <col min="2310" max="2311" width="13.7109375" style="278" customWidth="1"/>
    <col min="2312" max="2312" width="17" style="278" customWidth="1"/>
    <col min="2313" max="2553" width="9.140625" style="278" customWidth="1"/>
    <col min="2554" max="2554" width="3.7109375" style="278" customWidth="1"/>
    <col min="2555" max="2560" width="14.5703125" style="278"/>
    <col min="2561" max="2561" width="3.7109375" style="278" customWidth="1"/>
    <col min="2562" max="2562" width="14.5703125" style="278"/>
    <col min="2563" max="2563" width="41.28515625" style="278" customWidth="1"/>
    <col min="2564" max="2564" width="11.140625" style="278" customWidth="1"/>
    <col min="2565" max="2565" width="11.28515625" style="278" customWidth="1"/>
    <col min="2566" max="2567" width="13.7109375" style="278" customWidth="1"/>
    <col min="2568" max="2568" width="17" style="278" customWidth="1"/>
    <col min="2569" max="2809" width="9.140625" style="278" customWidth="1"/>
    <col min="2810" max="2810" width="3.7109375" style="278" customWidth="1"/>
    <col min="2811" max="2816" width="14.5703125" style="278"/>
    <col min="2817" max="2817" width="3.7109375" style="278" customWidth="1"/>
    <col min="2818" max="2818" width="14.5703125" style="278"/>
    <col min="2819" max="2819" width="41.28515625" style="278" customWidth="1"/>
    <col min="2820" max="2820" width="11.140625" style="278" customWidth="1"/>
    <col min="2821" max="2821" width="11.28515625" style="278" customWidth="1"/>
    <col min="2822" max="2823" width="13.7109375" style="278" customWidth="1"/>
    <col min="2824" max="2824" width="17" style="278" customWidth="1"/>
    <col min="2825" max="3065" width="9.140625" style="278" customWidth="1"/>
    <col min="3066" max="3066" width="3.7109375" style="278" customWidth="1"/>
    <col min="3067" max="3072" width="14.5703125" style="278"/>
    <col min="3073" max="3073" width="3.7109375" style="278" customWidth="1"/>
    <col min="3074" max="3074" width="14.5703125" style="278"/>
    <col min="3075" max="3075" width="41.28515625" style="278" customWidth="1"/>
    <col min="3076" max="3076" width="11.140625" style="278" customWidth="1"/>
    <col min="3077" max="3077" width="11.28515625" style="278" customWidth="1"/>
    <col min="3078" max="3079" width="13.7109375" style="278" customWidth="1"/>
    <col min="3080" max="3080" width="17" style="278" customWidth="1"/>
    <col min="3081" max="3321" width="9.140625" style="278" customWidth="1"/>
    <col min="3322" max="3322" width="3.7109375" style="278" customWidth="1"/>
    <col min="3323" max="3328" width="14.5703125" style="278"/>
    <col min="3329" max="3329" width="3.7109375" style="278" customWidth="1"/>
    <col min="3330" max="3330" width="14.5703125" style="278"/>
    <col min="3331" max="3331" width="41.28515625" style="278" customWidth="1"/>
    <col min="3332" max="3332" width="11.140625" style="278" customWidth="1"/>
    <col min="3333" max="3333" width="11.28515625" style="278" customWidth="1"/>
    <col min="3334" max="3335" width="13.7109375" style="278" customWidth="1"/>
    <col min="3336" max="3336" width="17" style="278" customWidth="1"/>
    <col min="3337" max="3577" width="9.140625" style="278" customWidth="1"/>
    <col min="3578" max="3578" width="3.7109375" style="278" customWidth="1"/>
    <col min="3579" max="3584" width="14.5703125" style="278"/>
    <col min="3585" max="3585" width="3.7109375" style="278" customWidth="1"/>
    <col min="3586" max="3586" width="14.5703125" style="278"/>
    <col min="3587" max="3587" width="41.28515625" style="278" customWidth="1"/>
    <col min="3588" max="3588" width="11.140625" style="278" customWidth="1"/>
    <col min="3589" max="3589" width="11.28515625" style="278" customWidth="1"/>
    <col min="3590" max="3591" width="13.7109375" style="278" customWidth="1"/>
    <col min="3592" max="3592" width="17" style="278" customWidth="1"/>
    <col min="3593" max="3833" width="9.140625" style="278" customWidth="1"/>
    <col min="3834" max="3834" width="3.7109375" style="278" customWidth="1"/>
    <col min="3835" max="3840" width="14.5703125" style="278"/>
    <col min="3841" max="3841" width="3.7109375" style="278" customWidth="1"/>
    <col min="3842" max="3842" width="14.5703125" style="278"/>
    <col min="3843" max="3843" width="41.28515625" style="278" customWidth="1"/>
    <col min="3844" max="3844" width="11.140625" style="278" customWidth="1"/>
    <col min="3845" max="3845" width="11.28515625" style="278" customWidth="1"/>
    <col min="3846" max="3847" width="13.7109375" style="278" customWidth="1"/>
    <col min="3848" max="3848" width="17" style="278" customWidth="1"/>
    <col min="3849" max="4089" width="9.140625" style="278" customWidth="1"/>
    <col min="4090" max="4090" width="3.7109375" style="278" customWidth="1"/>
    <col min="4091" max="4096" width="14.5703125" style="278"/>
    <col min="4097" max="4097" width="3.7109375" style="278" customWidth="1"/>
    <col min="4098" max="4098" width="14.5703125" style="278"/>
    <col min="4099" max="4099" width="41.28515625" style="278" customWidth="1"/>
    <col min="4100" max="4100" width="11.140625" style="278" customWidth="1"/>
    <col min="4101" max="4101" width="11.28515625" style="278" customWidth="1"/>
    <col min="4102" max="4103" width="13.7109375" style="278" customWidth="1"/>
    <col min="4104" max="4104" width="17" style="278" customWidth="1"/>
    <col min="4105" max="4345" width="9.140625" style="278" customWidth="1"/>
    <col min="4346" max="4346" width="3.7109375" style="278" customWidth="1"/>
    <col min="4347" max="4352" width="14.5703125" style="278"/>
    <col min="4353" max="4353" width="3.7109375" style="278" customWidth="1"/>
    <col min="4354" max="4354" width="14.5703125" style="278"/>
    <col min="4355" max="4355" width="41.28515625" style="278" customWidth="1"/>
    <col min="4356" max="4356" width="11.140625" style="278" customWidth="1"/>
    <col min="4357" max="4357" width="11.28515625" style="278" customWidth="1"/>
    <col min="4358" max="4359" width="13.7109375" style="278" customWidth="1"/>
    <col min="4360" max="4360" width="17" style="278" customWidth="1"/>
    <col min="4361" max="4601" width="9.140625" style="278" customWidth="1"/>
    <col min="4602" max="4602" width="3.7109375" style="278" customWidth="1"/>
    <col min="4603" max="4608" width="14.5703125" style="278"/>
    <col min="4609" max="4609" width="3.7109375" style="278" customWidth="1"/>
    <col min="4610" max="4610" width="14.5703125" style="278"/>
    <col min="4611" max="4611" width="41.28515625" style="278" customWidth="1"/>
    <col min="4612" max="4612" width="11.140625" style="278" customWidth="1"/>
    <col min="4613" max="4613" width="11.28515625" style="278" customWidth="1"/>
    <col min="4614" max="4615" width="13.7109375" style="278" customWidth="1"/>
    <col min="4616" max="4616" width="17" style="278" customWidth="1"/>
    <col min="4617" max="4857" width="9.140625" style="278" customWidth="1"/>
    <col min="4858" max="4858" width="3.7109375" style="278" customWidth="1"/>
    <col min="4859" max="4864" width="14.5703125" style="278"/>
    <col min="4865" max="4865" width="3.7109375" style="278" customWidth="1"/>
    <col min="4866" max="4866" width="14.5703125" style="278"/>
    <col min="4867" max="4867" width="41.28515625" style="278" customWidth="1"/>
    <col min="4868" max="4868" width="11.140625" style="278" customWidth="1"/>
    <col min="4869" max="4869" width="11.28515625" style="278" customWidth="1"/>
    <col min="4870" max="4871" width="13.7109375" style="278" customWidth="1"/>
    <col min="4872" max="4872" width="17" style="278" customWidth="1"/>
    <col min="4873" max="5113" width="9.140625" style="278" customWidth="1"/>
    <col min="5114" max="5114" width="3.7109375" style="278" customWidth="1"/>
    <col min="5115" max="5120" width="14.5703125" style="278"/>
    <col min="5121" max="5121" width="3.7109375" style="278" customWidth="1"/>
    <col min="5122" max="5122" width="14.5703125" style="278"/>
    <col min="5123" max="5123" width="41.28515625" style="278" customWidth="1"/>
    <col min="5124" max="5124" width="11.140625" style="278" customWidth="1"/>
    <col min="5125" max="5125" width="11.28515625" style="278" customWidth="1"/>
    <col min="5126" max="5127" width="13.7109375" style="278" customWidth="1"/>
    <col min="5128" max="5128" width="17" style="278" customWidth="1"/>
    <col min="5129" max="5369" width="9.140625" style="278" customWidth="1"/>
    <col min="5370" max="5370" width="3.7109375" style="278" customWidth="1"/>
    <col min="5371" max="5376" width="14.5703125" style="278"/>
    <col min="5377" max="5377" width="3.7109375" style="278" customWidth="1"/>
    <col min="5378" max="5378" width="14.5703125" style="278"/>
    <col min="5379" max="5379" width="41.28515625" style="278" customWidth="1"/>
    <col min="5380" max="5380" width="11.140625" style="278" customWidth="1"/>
    <col min="5381" max="5381" width="11.28515625" style="278" customWidth="1"/>
    <col min="5382" max="5383" width="13.7109375" style="278" customWidth="1"/>
    <col min="5384" max="5384" width="17" style="278" customWidth="1"/>
    <col min="5385" max="5625" width="9.140625" style="278" customWidth="1"/>
    <col min="5626" max="5626" width="3.7109375" style="278" customWidth="1"/>
    <col min="5627" max="5632" width="14.5703125" style="278"/>
    <col min="5633" max="5633" width="3.7109375" style="278" customWidth="1"/>
    <col min="5634" max="5634" width="14.5703125" style="278"/>
    <col min="5635" max="5635" width="41.28515625" style="278" customWidth="1"/>
    <col min="5636" max="5636" width="11.140625" style="278" customWidth="1"/>
    <col min="5637" max="5637" width="11.28515625" style="278" customWidth="1"/>
    <col min="5638" max="5639" width="13.7109375" style="278" customWidth="1"/>
    <col min="5640" max="5640" width="17" style="278" customWidth="1"/>
    <col min="5641" max="5881" width="9.140625" style="278" customWidth="1"/>
    <col min="5882" max="5882" width="3.7109375" style="278" customWidth="1"/>
    <col min="5883" max="5888" width="14.5703125" style="278"/>
    <col min="5889" max="5889" width="3.7109375" style="278" customWidth="1"/>
    <col min="5890" max="5890" width="14.5703125" style="278"/>
    <col min="5891" max="5891" width="41.28515625" style="278" customWidth="1"/>
    <col min="5892" max="5892" width="11.140625" style="278" customWidth="1"/>
    <col min="5893" max="5893" width="11.28515625" style="278" customWidth="1"/>
    <col min="5894" max="5895" width="13.7109375" style="278" customWidth="1"/>
    <col min="5896" max="5896" width="17" style="278" customWidth="1"/>
    <col min="5897" max="6137" width="9.140625" style="278" customWidth="1"/>
    <col min="6138" max="6138" width="3.7109375" style="278" customWidth="1"/>
    <col min="6139" max="6144" width="14.5703125" style="278"/>
    <col min="6145" max="6145" width="3.7109375" style="278" customWidth="1"/>
    <col min="6146" max="6146" width="14.5703125" style="278"/>
    <col min="6147" max="6147" width="41.28515625" style="278" customWidth="1"/>
    <col min="6148" max="6148" width="11.140625" style="278" customWidth="1"/>
    <col min="6149" max="6149" width="11.28515625" style="278" customWidth="1"/>
    <col min="6150" max="6151" width="13.7109375" style="278" customWidth="1"/>
    <col min="6152" max="6152" width="17" style="278" customWidth="1"/>
    <col min="6153" max="6393" width="9.140625" style="278" customWidth="1"/>
    <col min="6394" max="6394" width="3.7109375" style="278" customWidth="1"/>
    <col min="6395" max="6400" width="14.5703125" style="278"/>
    <col min="6401" max="6401" width="3.7109375" style="278" customWidth="1"/>
    <col min="6402" max="6402" width="14.5703125" style="278"/>
    <col min="6403" max="6403" width="41.28515625" style="278" customWidth="1"/>
    <col min="6404" max="6404" width="11.140625" style="278" customWidth="1"/>
    <col min="6405" max="6405" width="11.28515625" style="278" customWidth="1"/>
    <col min="6406" max="6407" width="13.7109375" style="278" customWidth="1"/>
    <col min="6408" max="6408" width="17" style="278" customWidth="1"/>
    <col min="6409" max="6649" width="9.140625" style="278" customWidth="1"/>
    <col min="6650" max="6650" width="3.7109375" style="278" customWidth="1"/>
    <col min="6651" max="6656" width="14.5703125" style="278"/>
    <col min="6657" max="6657" width="3.7109375" style="278" customWidth="1"/>
    <col min="6658" max="6658" width="14.5703125" style="278"/>
    <col min="6659" max="6659" width="41.28515625" style="278" customWidth="1"/>
    <col min="6660" max="6660" width="11.140625" style="278" customWidth="1"/>
    <col min="6661" max="6661" width="11.28515625" style="278" customWidth="1"/>
    <col min="6662" max="6663" width="13.7109375" style="278" customWidth="1"/>
    <col min="6664" max="6664" width="17" style="278" customWidth="1"/>
    <col min="6665" max="6905" width="9.140625" style="278" customWidth="1"/>
    <col min="6906" max="6906" width="3.7109375" style="278" customWidth="1"/>
    <col min="6907" max="6912" width="14.5703125" style="278"/>
    <col min="6913" max="6913" width="3.7109375" style="278" customWidth="1"/>
    <col min="6914" max="6914" width="14.5703125" style="278"/>
    <col min="6915" max="6915" width="41.28515625" style="278" customWidth="1"/>
    <col min="6916" max="6916" width="11.140625" style="278" customWidth="1"/>
    <col min="6917" max="6917" width="11.28515625" style="278" customWidth="1"/>
    <col min="6918" max="6919" width="13.7109375" style="278" customWidth="1"/>
    <col min="6920" max="6920" width="17" style="278" customWidth="1"/>
    <col min="6921" max="7161" width="9.140625" style="278" customWidth="1"/>
    <col min="7162" max="7162" width="3.7109375" style="278" customWidth="1"/>
    <col min="7163" max="7168" width="14.5703125" style="278"/>
    <col min="7169" max="7169" width="3.7109375" style="278" customWidth="1"/>
    <col min="7170" max="7170" width="14.5703125" style="278"/>
    <col min="7171" max="7171" width="41.28515625" style="278" customWidth="1"/>
    <col min="7172" max="7172" width="11.140625" style="278" customWidth="1"/>
    <col min="7173" max="7173" width="11.28515625" style="278" customWidth="1"/>
    <col min="7174" max="7175" width="13.7109375" style="278" customWidth="1"/>
    <col min="7176" max="7176" width="17" style="278" customWidth="1"/>
    <col min="7177" max="7417" width="9.140625" style="278" customWidth="1"/>
    <col min="7418" max="7418" width="3.7109375" style="278" customWidth="1"/>
    <col min="7419" max="7424" width="14.5703125" style="278"/>
    <col min="7425" max="7425" width="3.7109375" style="278" customWidth="1"/>
    <col min="7426" max="7426" width="14.5703125" style="278"/>
    <col min="7427" max="7427" width="41.28515625" style="278" customWidth="1"/>
    <col min="7428" max="7428" width="11.140625" style="278" customWidth="1"/>
    <col min="7429" max="7429" width="11.28515625" style="278" customWidth="1"/>
    <col min="7430" max="7431" width="13.7109375" style="278" customWidth="1"/>
    <col min="7432" max="7432" width="17" style="278" customWidth="1"/>
    <col min="7433" max="7673" width="9.140625" style="278" customWidth="1"/>
    <col min="7674" max="7674" width="3.7109375" style="278" customWidth="1"/>
    <col min="7675" max="7680" width="14.5703125" style="278"/>
    <col min="7681" max="7681" width="3.7109375" style="278" customWidth="1"/>
    <col min="7682" max="7682" width="14.5703125" style="278"/>
    <col min="7683" max="7683" width="41.28515625" style="278" customWidth="1"/>
    <col min="7684" max="7684" width="11.140625" style="278" customWidth="1"/>
    <col min="7685" max="7685" width="11.28515625" style="278" customWidth="1"/>
    <col min="7686" max="7687" width="13.7109375" style="278" customWidth="1"/>
    <col min="7688" max="7688" width="17" style="278" customWidth="1"/>
    <col min="7689" max="7929" width="9.140625" style="278" customWidth="1"/>
    <col min="7930" max="7930" width="3.7109375" style="278" customWidth="1"/>
    <col min="7931" max="7936" width="14.5703125" style="278"/>
    <col min="7937" max="7937" width="3.7109375" style="278" customWidth="1"/>
    <col min="7938" max="7938" width="14.5703125" style="278"/>
    <col min="7939" max="7939" width="41.28515625" style="278" customWidth="1"/>
    <col min="7940" max="7940" width="11.140625" style="278" customWidth="1"/>
    <col min="7941" max="7941" width="11.28515625" style="278" customWidth="1"/>
    <col min="7942" max="7943" width="13.7109375" style="278" customWidth="1"/>
    <col min="7944" max="7944" width="17" style="278" customWidth="1"/>
    <col min="7945" max="8185" width="9.140625" style="278" customWidth="1"/>
    <col min="8186" max="8186" width="3.7109375" style="278" customWidth="1"/>
    <col min="8187" max="8192" width="14.5703125" style="278"/>
    <col min="8193" max="8193" width="3.7109375" style="278" customWidth="1"/>
    <col min="8194" max="8194" width="14.5703125" style="278"/>
    <col min="8195" max="8195" width="41.28515625" style="278" customWidth="1"/>
    <col min="8196" max="8196" width="11.140625" style="278" customWidth="1"/>
    <col min="8197" max="8197" width="11.28515625" style="278" customWidth="1"/>
    <col min="8198" max="8199" width="13.7109375" style="278" customWidth="1"/>
    <col min="8200" max="8200" width="17" style="278" customWidth="1"/>
    <col min="8201" max="8441" width="9.140625" style="278" customWidth="1"/>
    <col min="8442" max="8442" width="3.7109375" style="278" customWidth="1"/>
    <col min="8443" max="8448" width="14.5703125" style="278"/>
    <col min="8449" max="8449" width="3.7109375" style="278" customWidth="1"/>
    <col min="8450" max="8450" width="14.5703125" style="278"/>
    <col min="8451" max="8451" width="41.28515625" style="278" customWidth="1"/>
    <col min="8452" max="8452" width="11.140625" style="278" customWidth="1"/>
    <col min="8453" max="8453" width="11.28515625" style="278" customWidth="1"/>
    <col min="8454" max="8455" width="13.7109375" style="278" customWidth="1"/>
    <col min="8456" max="8456" width="17" style="278" customWidth="1"/>
    <col min="8457" max="8697" width="9.140625" style="278" customWidth="1"/>
    <col min="8698" max="8698" width="3.7109375" style="278" customWidth="1"/>
    <col min="8699" max="8704" width="14.5703125" style="278"/>
    <col min="8705" max="8705" width="3.7109375" style="278" customWidth="1"/>
    <col min="8706" max="8706" width="14.5703125" style="278"/>
    <col min="8707" max="8707" width="41.28515625" style="278" customWidth="1"/>
    <col min="8708" max="8708" width="11.140625" style="278" customWidth="1"/>
    <col min="8709" max="8709" width="11.28515625" style="278" customWidth="1"/>
    <col min="8710" max="8711" width="13.7109375" style="278" customWidth="1"/>
    <col min="8712" max="8712" width="17" style="278" customWidth="1"/>
    <col min="8713" max="8953" width="9.140625" style="278" customWidth="1"/>
    <col min="8954" max="8954" width="3.7109375" style="278" customWidth="1"/>
    <col min="8955" max="8960" width="14.5703125" style="278"/>
    <col min="8961" max="8961" width="3.7109375" style="278" customWidth="1"/>
    <col min="8962" max="8962" width="14.5703125" style="278"/>
    <col min="8963" max="8963" width="41.28515625" style="278" customWidth="1"/>
    <col min="8964" max="8964" width="11.140625" style="278" customWidth="1"/>
    <col min="8965" max="8965" width="11.28515625" style="278" customWidth="1"/>
    <col min="8966" max="8967" width="13.7109375" style="278" customWidth="1"/>
    <col min="8968" max="8968" width="17" style="278" customWidth="1"/>
    <col min="8969" max="9209" width="9.140625" style="278" customWidth="1"/>
    <col min="9210" max="9210" width="3.7109375" style="278" customWidth="1"/>
    <col min="9211" max="9216" width="14.5703125" style="278"/>
    <col min="9217" max="9217" width="3.7109375" style="278" customWidth="1"/>
    <col min="9218" max="9218" width="14.5703125" style="278"/>
    <col min="9219" max="9219" width="41.28515625" style="278" customWidth="1"/>
    <col min="9220" max="9220" width="11.140625" style="278" customWidth="1"/>
    <col min="9221" max="9221" width="11.28515625" style="278" customWidth="1"/>
    <col min="9222" max="9223" width="13.7109375" style="278" customWidth="1"/>
    <col min="9224" max="9224" width="17" style="278" customWidth="1"/>
    <col min="9225" max="9465" width="9.140625" style="278" customWidth="1"/>
    <col min="9466" max="9466" width="3.7109375" style="278" customWidth="1"/>
    <col min="9467" max="9472" width="14.5703125" style="278"/>
    <col min="9473" max="9473" width="3.7109375" style="278" customWidth="1"/>
    <col min="9474" max="9474" width="14.5703125" style="278"/>
    <col min="9475" max="9475" width="41.28515625" style="278" customWidth="1"/>
    <col min="9476" max="9476" width="11.140625" style="278" customWidth="1"/>
    <col min="9477" max="9477" width="11.28515625" style="278" customWidth="1"/>
    <col min="9478" max="9479" width="13.7109375" style="278" customWidth="1"/>
    <col min="9480" max="9480" width="17" style="278" customWidth="1"/>
    <col min="9481" max="9721" width="9.140625" style="278" customWidth="1"/>
    <col min="9722" max="9722" width="3.7109375" style="278" customWidth="1"/>
    <col min="9723" max="9728" width="14.5703125" style="278"/>
    <col min="9729" max="9729" width="3.7109375" style="278" customWidth="1"/>
    <col min="9730" max="9730" width="14.5703125" style="278"/>
    <col min="9731" max="9731" width="41.28515625" style="278" customWidth="1"/>
    <col min="9732" max="9732" width="11.140625" style="278" customWidth="1"/>
    <col min="9733" max="9733" width="11.28515625" style="278" customWidth="1"/>
    <col min="9734" max="9735" width="13.7109375" style="278" customWidth="1"/>
    <col min="9736" max="9736" width="17" style="278" customWidth="1"/>
    <col min="9737" max="9977" width="9.140625" style="278" customWidth="1"/>
    <col min="9978" max="9978" width="3.7109375" style="278" customWidth="1"/>
    <col min="9979" max="9984" width="14.5703125" style="278"/>
    <col min="9985" max="9985" width="3.7109375" style="278" customWidth="1"/>
    <col min="9986" max="9986" width="14.5703125" style="278"/>
    <col min="9987" max="9987" width="41.28515625" style="278" customWidth="1"/>
    <col min="9988" max="9988" width="11.140625" style="278" customWidth="1"/>
    <col min="9989" max="9989" width="11.28515625" style="278" customWidth="1"/>
    <col min="9990" max="9991" width="13.7109375" style="278" customWidth="1"/>
    <col min="9992" max="9992" width="17" style="278" customWidth="1"/>
    <col min="9993" max="10233" width="9.140625" style="278" customWidth="1"/>
    <col min="10234" max="10234" width="3.7109375" style="278" customWidth="1"/>
    <col min="10235" max="10240" width="14.5703125" style="278"/>
    <col min="10241" max="10241" width="3.7109375" style="278" customWidth="1"/>
    <col min="10242" max="10242" width="14.5703125" style="278"/>
    <col min="10243" max="10243" width="41.28515625" style="278" customWidth="1"/>
    <col min="10244" max="10244" width="11.140625" style="278" customWidth="1"/>
    <col min="10245" max="10245" width="11.28515625" style="278" customWidth="1"/>
    <col min="10246" max="10247" width="13.7109375" style="278" customWidth="1"/>
    <col min="10248" max="10248" width="17" style="278" customWidth="1"/>
    <col min="10249" max="10489" width="9.140625" style="278" customWidth="1"/>
    <col min="10490" max="10490" width="3.7109375" style="278" customWidth="1"/>
    <col min="10491" max="10496" width="14.5703125" style="278"/>
    <col min="10497" max="10497" width="3.7109375" style="278" customWidth="1"/>
    <col min="10498" max="10498" width="14.5703125" style="278"/>
    <col min="10499" max="10499" width="41.28515625" style="278" customWidth="1"/>
    <col min="10500" max="10500" width="11.140625" style="278" customWidth="1"/>
    <col min="10501" max="10501" width="11.28515625" style="278" customWidth="1"/>
    <col min="10502" max="10503" width="13.7109375" style="278" customWidth="1"/>
    <col min="10504" max="10504" width="17" style="278" customWidth="1"/>
    <col min="10505" max="10745" width="9.140625" style="278" customWidth="1"/>
    <col min="10746" max="10746" width="3.7109375" style="278" customWidth="1"/>
    <col min="10747" max="10752" width="14.5703125" style="278"/>
    <col min="10753" max="10753" width="3.7109375" style="278" customWidth="1"/>
    <col min="10754" max="10754" width="14.5703125" style="278"/>
    <col min="10755" max="10755" width="41.28515625" style="278" customWidth="1"/>
    <col min="10756" max="10756" width="11.140625" style="278" customWidth="1"/>
    <col min="10757" max="10757" width="11.28515625" style="278" customWidth="1"/>
    <col min="10758" max="10759" width="13.7109375" style="278" customWidth="1"/>
    <col min="10760" max="10760" width="17" style="278" customWidth="1"/>
    <col min="10761" max="11001" width="9.140625" style="278" customWidth="1"/>
    <col min="11002" max="11002" width="3.7109375" style="278" customWidth="1"/>
    <col min="11003" max="11008" width="14.5703125" style="278"/>
    <col min="11009" max="11009" width="3.7109375" style="278" customWidth="1"/>
    <col min="11010" max="11010" width="14.5703125" style="278"/>
    <col min="11011" max="11011" width="41.28515625" style="278" customWidth="1"/>
    <col min="11012" max="11012" width="11.140625" style="278" customWidth="1"/>
    <col min="11013" max="11013" width="11.28515625" style="278" customWidth="1"/>
    <col min="11014" max="11015" width="13.7109375" style="278" customWidth="1"/>
    <col min="11016" max="11016" width="17" style="278" customWidth="1"/>
    <col min="11017" max="11257" width="9.140625" style="278" customWidth="1"/>
    <col min="11258" max="11258" width="3.7109375" style="278" customWidth="1"/>
    <col min="11259" max="11264" width="14.5703125" style="278"/>
    <col min="11265" max="11265" width="3.7109375" style="278" customWidth="1"/>
    <col min="11266" max="11266" width="14.5703125" style="278"/>
    <col min="11267" max="11267" width="41.28515625" style="278" customWidth="1"/>
    <col min="11268" max="11268" width="11.140625" style="278" customWidth="1"/>
    <col min="11269" max="11269" width="11.28515625" style="278" customWidth="1"/>
    <col min="11270" max="11271" width="13.7109375" style="278" customWidth="1"/>
    <col min="11272" max="11272" width="17" style="278" customWidth="1"/>
    <col min="11273" max="11513" width="9.140625" style="278" customWidth="1"/>
    <col min="11514" max="11514" width="3.7109375" style="278" customWidth="1"/>
    <col min="11515" max="11520" width="14.5703125" style="278"/>
    <col min="11521" max="11521" width="3.7109375" style="278" customWidth="1"/>
    <col min="11522" max="11522" width="14.5703125" style="278"/>
    <col min="11523" max="11523" width="41.28515625" style="278" customWidth="1"/>
    <col min="11524" max="11524" width="11.140625" style="278" customWidth="1"/>
    <col min="11525" max="11525" width="11.28515625" style="278" customWidth="1"/>
    <col min="11526" max="11527" width="13.7109375" style="278" customWidth="1"/>
    <col min="11528" max="11528" width="17" style="278" customWidth="1"/>
    <col min="11529" max="11769" width="9.140625" style="278" customWidth="1"/>
    <col min="11770" max="11770" width="3.7109375" style="278" customWidth="1"/>
    <col min="11771" max="11776" width="14.5703125" style="278"/>
    <col min="11777" max="11777" width="3.7109375" style="278" customWidth="1"/>
    <col min="11778" max="11778" width="14.5703125" style="278"/>
    <col min="11779" max="11779" width="41.28515625" style="278" customWidth="1"/>
    <col min="11780" max="11780" width="11.140625" style="278" customWidth="1"/>
    <col min="11781" max="11781" width="11.28515625" style="278" customWidth="1"/>
    <col min="11782" max="11783" width="13.7109375" style="278" customWidth="1"/>
    <col min="11784" max="11784" width="17" style="278" customWidth="1"/>
    <col min="11785" max="12025" width="9.140625" style="278" customWidth="1"/>
    <col min="12026" max="12026" width="3.7109375" style="278" customWidth="1"/>
    <col min="12027" max="12032" width="14.5703125" style="278"/>
    <col min="12033" max="12033" width="3.7109375" style="278" customWidth="1"/>
    <col min="12034" max="12034" width="14.5703125" style="278"/>
    <col min="12035" max="12035" width="41.28515625" style="278" customWidth="1"/>
    <col min="12036" max="12036" width="11.140625" style="278" customWidth="1"/>
    <col min="12037" max="12037" width="11.28515625" style="278" customWidth="1"/>
    <col min="12038" max="12039" width="13.7109375" style="278" customWidth="1"/>
    <col min="12040" max="12040" width="17" style="278" customWidth="1"/>
    <col min="12041" max="12281" width="9.140625" style="278" customWidth="1"/>
    <col min="12282" max="12282" width="3.7109375" style="278" customWidth="1"/>
    <col min="12283" max="12288" width="14.5703125" style="278"/>
    <col min="12289" max="12289" width="3.7109375" style="278" customWidth="1"/>
    <col min="12290" max="12290" width="14.5703125" style="278"/>
    <col min="12291" max="12291" width="41.28515625" style="278" customWidth="1"/>
    <col min="12292" max="12292" width="11.140625" style="278" customWidth="1"/>
    <col min="12293" max="12293" width="11.28515625" style="278" customWidth="1"/>
    <col min="12294" max="12295" width="13.7109375" style="278" customWidth="1"/>
    <col min="12296" max="12296" width="17" style="278" customWidth="1"/>
    <col min="12297" max="12537" width="9.140625" style="278" customWidth="1"/>
    <col min="12538" max="12538" width="3.7109375" style="278" customWidth="1"/>
    <col min="12539" max="12544" width="14.5703125" style="278"/>
    <col min="12545" max="12545" width="3.7109375" style="278" customWidth="1"/>
    <col min="12546" max="12546" width="14.5703125" style="278"/>
    <col min="12547" max="12547" width="41.28515625" style="278" customWidth="1"/>
    <col min="12548" max="12548" width="11.140625" style="278" customWidth="1"/>
    <col min="12549" max="12549" width="11.28515625" style="278" customWidth="1"/>
    <col min="12550" max="12551" width="13.7109375" style="278" customWidth="1"/>
    <col min="12552" max="12552" width="17" style="278" customWidth="1"/>
    <col min="12553" max="12793" width="9.140625" style="278" customWidth="1"/>
    <col min="12794" max="12794" width="3.7109375" style="278" customWidth="1"/>
    <col min="12795" max="12800" width="14.5703125" style="278"/>
    <col min="12801" max="12801" width="3.7109375" style="278" customWidth="1"/>
    <col min="12802" max="12802" width="14.5703125" style="278"/>
    <col min="12803" max="12803" width="41.28515625" style="278" customWidth="1"/>
    <col min="12804" max="12804" width="11.140625" style="278" customWidth="1"/>
    <col min="12805" max="12805" width="11.28515625" style="278" customWidth="1"/>
    <col min="12806" max="12807" width="13.7109375" style="278" customWidth="1"/>
    <col min="12808" max="12808" width="17" style="278" customWidth="1"/>
    <col min="12809" max="13049" width="9.140625" style="278" customWidth="1"/>
    <col min="13050" max="13050" width="3.7109375" style="278" customWidth="1"/>
    <col min="13051" max="13056" width="14.5703125" style="278"/>
    <col min="13057" max="13057" width="3.7109375" style="278" customWidth="1"/>
    <col min="13058" max="13058" width="14.5703125" style="278"/>
    <col min="13059" max="13059" width="41.28515625" style="278" customWidth="1"/>
    <col min="13060" max="13060" width="11.140625" style="278" customWidth="1"/>
    <col min="13061" max="13061" width="11.28515625" style="278" customWidth="1"/>
    <col min="13062" max="13063" width="13.7109375" style="278" customWidth="1"/>
    <col min="13064" max="13064" width="17" style="278" customWidth="1"/>
    <col min="13065" max="13305" width="9.140625" style="278" customWidth="1"/>
    <col min="13306" max="13306" width="3.7109375" style="278" customWidth="1"/>
    <col min="13307" max="13312" width="14.5703125" style="278"/>
    <col min="13313" max="13313" width="3.7109375" style="278" customWidth="1"/>
    <col min="13314" max="13314" width="14.5703125" style="278"/>
    <col min="13315" max="13315" width="41.28515625" style="278" customWidth="1"/>
    <col min="13316" max="13316" width="11.140625" style="278" customWidth="1"/>
    <col min="13317" max="13317" width="11.28515625" style="278" customWidth="1"/>
    <col min="13318" max="13319" width="13.7109375" style="278" customWidth="1"/>
    <col min="13320" max="13320" width="17" style="278" customWidth="1"/>
    <col min="13321" max="13561" width="9.140625" style="278" customWidth="1"/>
    <col min="13562" max="13562" width="3.7109375" style="278" customWidth="1"/>
    <col min="13563" max="13568" width="14.5703125" style="278"/>
    <col min="13569" max="13569" width="3.7109375" style="278" customWidth="1"/>
    <col min="13570" max="13570" width="14.5703125" style="278"/>
    <col min="13571" max="13571" width="41.28515625" style="278" customWidth="1"/>
    <col min="13572" max="13572" width="11.140625" style="278" customWidth="1"/>
    <col min="13573" max="13573" width="11.28515625" style="278" customWidth="1"/>
    <col min="13574" max="13575" width="13.7109375" style="278" customWidth="1"/>
    <col min="13576" max="13576" width="17" style="278" customWidth="1"/>
    <col min="13577" max="13817" width="9.140625" style="278" customWidth="1"/>
    <col min="13818" max="13818" width="3.7109375" style="278" customWidth="1"/>
    <col min="13819" max="13824" width="14.5703125" style="278"/>
    <col min="13825" max="13825" width="3.7109375" style="278" customWidth="1"/>
    <col min="13826" max="13826" width="14.5703125" style="278"/>
    <col min="13827" max="13827" width="41.28515625" style="278" customWidth="1"/>
    <col min="13828" max="13828" width="11.140625" style="278" customWidth="1"/>
    <col min="13829" max="13829" width="11.28515625" style="278" customWidth="1"/>
    <col min="13830" max="13831" width="13.7109375" style="278" customWidth="1"/>
    <col min="13832" max="13832" width="17" style="278" customWidth="1"/>
    <col min="13833" max="14073" width="9.140625" style="278" customWidth="1"/>
    <col min="14074" max="14074" width="3.7109375" style="278" customWidth="1"/>
    <col min="14075" max="14080" width="14.5703125" style="278"/>
    <col min="14081" max="14081" width="3.7109375" style="278" customWidth="1"/>
    <col min="14082" max="14082" width="14.5703125" style="278"/>
    <col min="14083" max="14083" width="41.28515625" style="278" customWidth="1"/>
    <col min="14084" max="14084" width="11.140625" style="278" customWidth="1"/>
    <col min="14085" max="14085" width="11.28515625" style="278" customWidth="1"/>
    <col min="14086" max="14087" width="13.7109375" style="278" customWidth="1"/>
    <col min="14088" max="14088" width="17" style="278" customWidth="1"/>
    <col min="14089" max="14329" width="9.140625" style="278" customWidth="1"/>
    <col min="14330" max="14330" width="3.7109375" style="278" customWidth="1"/>
    <col min="14331" max="14336" width="14.5703125" style="278"/>
    <col min="14337" max="14337" width="3.7109375" style="278" customWidth="1"/>
    <col min="14338" max="14338" width="14.5703125" style="278"/>
    <col min="14339" max="14339" width="41.28515625" style="278" customWidth="1"/>
    <col min="14340" max="14340" width="11.140625" style="278" customWidth="1"/>
    <col min="14341" max="14341" width="11.28515625" style="278" customWidth="1"/>
    <col min="14342" max="14343" width="13.7109375" style="278" customWidth="1"/>
    <col min="14344" max="14344" width="17" style="278" customWidth="1"/>
    <col min="14345" max="14585" width="9.140625" style="278" customWidth="1"/>
    <col min="14586" max="14586" width="3.7109375" style="278" customWidth="1"/>
    <col min="14587" max="14592" width="14.5703125" style="278"/>
    <col min="14593" max="14593" width="3.7109375" style="278" customWidth="1"/>
    <col min="14594" max="14594" width="14.5703125" style="278"/>
    <col min="14595" max="14595" width="41.28515625" style="278" customWidth="1"/>
    <col min="14596" max="14596" width="11.140625" style="278" customWidth="1"/>
    <col min="14597" max="14597" width="11.28515625" style="278" customWidth="1"/>
    <col min="14598" max="14599" width="13.7109375" style="278" customWidth="1"/>
    <col min="14600" max="14600" width="17" style="278" customWidth="1"/>
    <col min="14601" max="14841" width="9.140625" style="278" customWidth="1"/>
    <col min="14842" max="14842" width="3.7109375" style="278" customWidth="1"/>
    <col min="14843" max="14848" width="14.5703125" style="278"/>
    <col min="14849" max="14849" width="3.7109375" style="278" customWidth="1"/>
    <col min="14850" max="14850" width="14.5703125" style="278"/>
    <col min="14851" max="14851" width="41.28515625" style="278" customWidth="1"/>
    <col min="14852" max="14852" width="11.140625" style="278" customWidth="1"/>
    <col min="14853" max="14853" width="11.28515625" style="278" customWidth="1"/>
    <col min="14854" max="14855" width="13.7109375" style="278" customWidth="1"/>
    <col min="14856" max="14856" width="17" style="278" customWidth="1"/>
    <col min="14857" max="15097" width="9.140625" style="278" customWidth="1"/>
    <col min="15098" max="15098" width="3.7109375" style="278" customWidth="1"/>
    <col min="15099" max="15104" width="14.5703125" style="278"/>
    <col min="15105" max="15105" width="3.7109375" style="278" customWidth="1"/>
    <col min="15106" max="15106" width="14.5703125" style="278"/>
    <col min="15107" max="15107" width="41.28515625" style="278" customWidth="1"/>
    <col min="15108" max="15108" width="11.140625" style="278" customWidth="1"/>
    <col min="15109" max="15109" width="11.28515625" style="278" customWidth="1"/>
    <col min="15110" max="15111" width="13.7109375" style="278" customWidth="1"/>
    <col min="15112" max="15112" width="17" style="278" customWidth="1"/>
    <col min="15113" max="15353" width="9.140625" style="278" customWidth="1"/>
    <col min="15354" max="15354" width="3.7109375" style="278" customWidth="1"/>
    <col min="15355" max="15360" width="14.5703125" style="278"/>
    <col min="15361" max="15361" width="3.7109375" style="278" customWidth="1"/>
    <col min="15362" max="15362" width="14.5703125" style="278"/>
    <col min="15363" max="15363" width="41.28515625" style="278" customWidth="1"/>
    <col min="15364" max="15364" width="11.140625" style="278" customWidth="1"/>
    <col min="15365" max="15365" width="11.28515625" style="278" customWidth="1"/>
    <col min="15366" max="15367" width="13.7109375" style="278" customWidth="1"/>
    <col min="15368" max="15368" width="17" style="278" customWidth="1"/>
    <col min="15369" max="15609" width="9.140625" style="278" customWidth="1"/>
    <col min="15610" max="15610" width="3.7109375" style="278" customWidth="1"/>
    <col min="15611" max="15616" width="14.5703125" style="278"/>
    <col min="15617" max="15617" width="3.7109375" style="278" customWidth="1"/>
    <col min="15618" max="15618" width="14.5703125" style="278"/>
    <col min="15619" max="15619" width="41.28515625" style="278" customWidth="1"/>
    <col min="15620" max="15620" width="11.140625" style="278" customWidth="1"/>
    <col min="15621" max="15621" width="11.28515625" style="278" customWidth="1"/>
    <col min="15622" max="15623" width="13.7109375" style="278" customWidth="1"/>
    <col min="15624" max="15624" width="17" style="278" customWidth="1"/>
    <col min="15625" max="15865" width="9.140625" style="278" customWidth="1"/>
    <col min="15866" max="15866" width="3.7109375" style="278" customWidth="1"/>
    <col min="15867" max="15872" width="14.5703125" style="278"/>
    <col min="15873" max="15873" width="3.7109375" style="278" customWidth="1"/>
    <col min="15874" max="15874" width="14.5703125" style="278"/>
    <col min="15875" max="15875" width="41.28515625" style="278" customWidth="1"/>
    <col min="15876" max="15876" width="11.140625" style="278" customWidth="1"/>
    <col min="15877" max="15877" width="11.28515625" style="278" customWidth="1"/>
    <col min="15878" max="15879" width="13.7109375" style="278" customWidth="1"/>
    <col min="15880" max="15880" width="17" style="278" customWidth="1"/>
    <col min="15881" max="16121" width="9.140625" style="278" customWidth="1"/>
    <col min="16122" max="16122" width="3.7109375" style="278" customWidth="1"/>
    <col min="16123" max="16128" width="14.5703125" style="278"/>
    <col min="16129" max="16129" width="3.7109375" style="278" customWidth="1"/>
    <col min="16130" max="16130" width="14.5703125" style="278"/>
    <col min="16131" max="16131" width="41.28515625" style="278" customWidth="1"/>
    <col min="16132" max="16132" width="11.140625" style="278" customWidth="1"/>
    <col min="16133" max="16133" width="11.28515625" style="278" customWidth="1"/>
    <col min="16134" max="16135" width="13.7109375" style="278" customWidth="1"/>
    <col min="16136" max="16136" width="17" style="278" customWidth="1"/>
    <col min="16137" max="16377" width="9.140625" style="278" customWidth="1"/>
    <col min="16378" max="16378" width="3.7109375" style="278" customWidth="1"/>
    <col min="16379" max="16384" width="14.5703125" style="278"/>
  </cols>
  <sheetData>
    <row r="1" spans="1:251" ht="13.5" thickBot="1">
      <c r="A1" s="272"/>
      <c r="B1" s="273"/>
      <c r="C1" s="274"/>
      <c r="D1" s="274"/>
      <c r="E1" s="275"/>
      <c r="F1" s="274"/>
      <c r="G1" s="276"/>
      <c r="H1" s="276"/>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c r="AP1" s="277"/>
      <c r="AQ1" s="277"/>
      <c r="AR1" s="277"/>
      <c r="AS1" s="277"/>
      <c r="AT1" s="277"/>
      <c r="AU1" s="277"/>
      <c r="AV1" s="277"/>
      <c r="AW1" s="277"/>
      <c r="AX1" s="277"/>
      <c r="AY1" s="277"/>
      <c r="AZ1" s="277"/>
      <c r="BA1" s="277"/>
      <c r="BB1" s="277"/>
      <c r="BC1" s="277"/>
      <c r="BD1" s="277"/>
      <c r="BE1" s="277"/>
      <c r="BF1" s="277"/>
      <c r="BG1" s="277"/>
      <c r="BH1" s="277"/>
      <c r="BI1" s="277"/>
      <c r="BJ1" s="277"/>
      <c r="BK1" s="277"/>
      <c r="BL1" s="277"/>
      <c r="BM1" s="277"/>
      <c r="BN1" s="277"/>
      <c r="BO1" s="277"/>
      <c r="BP1" s="277"/>
      <c r="BQ1" s="277"/>
      <c r="BR1" s="277"/>
      <c r="BS1" s="277"/>
      <c r="BT1" s="277"/>
      <c r="BU1" s="277"/>
      <c r="BV1" s="277"/>
      <c r="BW1" s="277"/>
      <c r="BX1" s="277"/>
      <c r="BY1" s="277"/>
      <c r="BZ1" s="277"/>
      <c r="CA1" s="277"/>
      <c r="CB1" s="277"/>
      <c r="CC1" s="277"/>
      <c r="CD1" s="277"/>
      <c r="CE1" s="277"/>
      <c r="CF1" s="277"/>
      <c r="CG1" s="277"/>
      <c r="CH1" s="277"/>
      <c r="CI1" s="277"/>
      <c r="CJ1" s="277"/>
      <c r="CK1" s="277"/>
      <c r="CL1" s="277"/>
      <c r="CM1" s="277"/>
      <c r="CN1" s="277"/>
      <c r="CO1" s="277"/>
      <c r="CP1" s="277"/>
      <c r="CQ1" s="277"/>
      <c r="CR1" s="277"/>
      <c r="CS1" s="277"/>
      <c r="CT1" s="277"/>
      <c r="CU1" s="277"/>
      <c r="CV1" s="277"/>
      <c r="CW1" s="277"/>
      <c r="CX1" s="277"/>
      <c r="CY1" s="277"/>
      <c r="CZ1" s="277"/>
      <c r="DA1" s="277"/>
      <c r="DB1" s="277"/>
      <c r="DC1" s="277"/>
      <c r="DD1" s="277"/>
      <c r="DE1" s="277"/>
      <c r="DF1" s="277"/>
      <c r="DG1" s="277"/>
      <c r="DH1" s="277"/>
      <c r="DI1" s="277"/>
      <c r="DJ1" s="277"/>
      <c r="DK1" s="277"/>
      <c r="DL1" s="277"/>
      <c r="DM1" s="277"/>
      <c r="DN1" s="277"/>
      <c r="DO1" s="277"/>
      <c r="DP1" s="277"/>
      <c r="DQ1" s="277"/>
      <c r="DR1" s="277"/>
      <c r="DS1" s="277"/>
      <c r="DT1" s="277"/>
      <c r="DU1" s="277"/>
      <c r="DV1" s="277"/>
      <c r="DW1" s="277"/>
      <c r="DX1" s="277"/>
      <c r="DY1" s="277"/>
      <c r="DZ1" s="277"/>
      <c r="EA1" s="277"/>
      <c r="EB1" s="277"/>
      <c r="EC1" s="277"/>
      <c r="ED1" s="277"/>
      <c r="EE1" s="277"/>
      <c r="EF1" s="277"/>
      <c r="EG1" s="277"/>
      <c r="EH1" s="277"/>
      <c r="EI1" s="277"/>
      <c r="EJ1" s="276"/>
      <c r="EK1" s="276"/>
      <c r="EL1" s="276"/>
      <c r="EM1" s="276"/>
      <c r="EN1" s="276"/>
      <c r="EO1" s="276"/>
      <c r="EP1" s="276"/>
      <c r="EQ1" s="276"/>
      <c r="ER1" s="276"/>
      <c r="ES1" s="276"/>
      <c r="ET1" s="276"/>
      <c r="EU1" s="276"/>
      <c r="EV1" s="276"/>
      <c r="EW1" s="276"/>
      <c r="EX1" s="276"/>
      <c r="EY1" s="276"/>
      <c r="EZ1" s="276"/>
      <c r="FA1" s="276"/>
      <c r="FB1" s="276"/>
      <c r="FC1" s="276"/>
      <c r="FD1" s="276"/>
      <c r="FE1" s="276"/>
      <c r="FF1" s="276"/>
      <c r="FG1" s="276"/>
      <c r="FH1" s="276"/>
      <c r="FI1" s="276"/>
      <c r="FJ1" s="276"/>
      <c r="FK1" s="276"/>
      <c r="FL1" s="276"/>
      <c r="FM1" s="276"/>
      <c r="FN1" s="276"/>
      <c r="FO1" s="276"/>
      <c r="FP1" s="276"/>
      <c r="FQ1" s="276"/>
      <c r="FR1" s="276"/>
      <c r="FS1" s="276"/>
      <c r="FT1" s="276"/>
      <c r="FU1" s="276"/>
      <c r="FV1" s="276"/>
      <c r="FW1" s="276"/>
      <c r="FX1" s="276"/>
      <c r="FY1" s="276"/>
      <c r="FZ1" s="276"/>
      <c r="GA1" s="276"/>
      <c r="GB1" s="276"/>
      <c r="GC1" s="276"/>
      <c r="GD1" s="276"/>
      <c r="GE1" s="276"/>
      <c r="GF1" s="276"/>
      <c r="GG1" s="276"/>
      <c r="GH1" s="276"/>
      <c r="GI1" s="276"/>
      <c r="GJ1" s="276"/>
      <c r="GK1" s="276"/>
      <c r="GL1" s="276"/>
      <c r="GM1" s="276"/>
      <c r="GN1" s="276"/>
      <c r="GO1" s="276"/>
      <c r="GP1" s="276"/>
      <c r="GQ1" s="276"/>
      <c r="GR1" s="276"/>
      <c r="GS1" s="276"/>
      <c r="GT1" s="276"/>
      <c r="GU1" s="276"/>
      <c r="GV1" s="276"/>
      <c r="GW1" s="276"/>
      <c r="GX1" s="276"/>
      <c r="GY1" s="276"/>
      <c r="GZ1" s="276"/>
      <c r="HA1" s="276"/>
      <c r="HB1" s="276"/>
      <c r="HC1" s="276"/>
      <c r="HD1" s="276"/>
      <c r="HE1" s="276"/>
      <c r="HF1" s="276"/>
      <c r="HG1" s="276"/>
      <c r="HH1" s="276"/>
      <c r="HI1" s="276"/>
      <c r="HJ1" s="276"/>
      <c r="HK1" s="276"/>
      <c r="HL1" s="276"/>
      <c r="HM1" s="276"/>
      <c r="HN1" s="276"/>
      <c r="HO1" s="276"/>
      <c r="HP1" s="276"/>
      <c r="HQ1" s="276"/>
      <c r="HR1" s="276"/>
      <c r="HS1" s="276"/>
      <c r="HT1" s="276"/>
      <c r="HU1" s="276"/>
      <c r="HV1" s="276"/>
      <c r="HW1" s="276"/>
      <c r="HX1" s="276"/>
      <c r="HY1" s="276"/>
      <c r="HZ1" s="276"/>
      <c r="IA1" s="276"/>
      <c r="IB1" s="276"/>
      <c r="IC1" s="276"/>
      <c r="ID1" s="276"/>
      <c r="IE1" s="276"/>
      <c r="IF1" s="276"/>
      <c r="IG1" s="276"/>
      <c r="IH1" s="276"/>
      <c r="II1" s="276"/>
      <c r="IJ1" s="276"/>
      <c r="IK1" s="276"/>
      <c r="IL1" s="276"/>
      <c r="IM1" s="276"/>
      <c r="IN1" s="276"/>
      <c r="IO1" s="276"/>
      <c r="IP1" s="276"/>
      <c r="IQ1" s="276"/>
    </row>
    <row r="2" spans="1:251" ht="19.5" customHeight="1" thickTop="1">
      <c r="A2" s="279" t="s">
        <v>0</v>
      </c>
      <c r="B2" s="280"/>
      <c r="C2" s="281" t="s">
        <v>730</v>
      </c>
      <c r="D2" s="282"/>
      <c r="E2" s="282"/>
      <c r="F2" s="282"/>
      <c r="G2" s="283"/>
      <c r="H2" s="276"/>
      <c r="I2" s="277"/>
      <c r="J2" s="277"/>
      <c r="K2" s="277"/>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277"/>
      <c r="AO2" s="277"/>
      <c r="AP2" s="277"/>
      <c r="AQ2" s="277"/>
      <c r="AR2" s="277"/>
      <c r="AS2" s="277"/>
      <c r="AT2" s="277"/>
      <c r="AU2" s="277"/>
      <c r="AV2" s="277"/>
      <c r="AW2" s="277"/>
      <c r="AX2" s="277"/>
      <c r="AY2" s="277"/>
      <c r="AZ2" s="277"/>
      <c r="BA2" s="277"/>
      <c r="BB2" s="277"/>
      <c r="BC2" s="277"/>
      <c r="BD2" s="277"/>
      <c r="BE2" s="277"/>
      <c r="BF2" s="277"/>
      <c r="BG2" s="277"/>
      <c r="BH2" s="277"/>
      <c r="BI2" s="277"/>
      <c r="BJ2" s="277"/>
      <c r="BK2" s="277"/>
      <c r="BL2" s="277"/>
      <c r="BM2" s="277"/>
      <c r="BN2" s="277"/>
      <c r="BO2" s="277"/>
      <c r="BP2" s="277"/>
      <c r="BQ2" s="277"/>
      <c r="BR2" s="277"/>
      <c r="BS2" s="277"/>
      <c r="BT2" s="277"/>
      <c r="BU2" s="277"/>
      <c r="BV2" s="277"/>
      <c r="BW2" s="277"/>
      <c r="BX2" s="277"/>
      <c r="BY2" s="277"/>
      <c r="BZ2" s="277"/>
      <c r="CA2" s="277"/>
      <c r="CB2" s="277"/>
      <c r="CC2" s="277"/>
      <c r="CD2" s="277"/>
      <c r="CE2" s="277"/>
      <c r="CF2" s="277"/>
      <c r="CG2" s="277"/>
      <c r="CH2" s="277"/>
      <c r="CI2" s="277"/>
      <c r="CJ2" s="277"/>
      <c r="CK2" s="277"/>
      <c r="CL2" s="277"/>
      <c r="CM2" s="277"/>
      <c r="CN2" s="277"/>
      <c r="CO2" s="277"/>
      <c r="CP2" s="277"/>
      <c r="CQ2" s="277"/>
      <c r="CR2" s="277"/>
      <c r="CS2" s="277"/>
      <c r="CT2" s="277"/>
      <c r="CU2" s="277"/>
      <c r="CV2" s="277"/>
      <c r="CW2" s="277"/>
      <c r="CX2" s="277"/>
      <c r="CY2" s="277"/>
      <c r="CZ2" s="277"/>
      <c r="DA2" s="277"/>
      <c r="DB2" s="277"/>
      <c r="DC2" s="277"/>
      <c r="DD2" s="277"/>
      <c r="DE2" s="277"/>
      <c r="DF2" s="277"/>
      <c r="DG2" s="277"/>
      <c r="DH2" s="277"/>
      <c r="DI2" s="277"/>
      <c r="DJ2" s="277"/>
      <c r="DK2" s="277"/>
      <c r="DL2" s="277"/>
      <c r="DM2" s="277"/>
      <c r="DN2" s="277"/>
      <c r="DO2" s="277"/>
      <c r="DP2" s="277"/>
      <c r="DQ2" s="277"/>
      <c r="DR2" s="277"/>
      <c r="DS2" s="277"/>
      <c r="DT2" s="277"/>
      <c r="DU2" s="277"/>
      <c r="DV2" s="277"/>
      <c r="DW2" s="277"/>
      <c r="DX2" s="277"/>
      <c r="DY2" s="277"/>
      <c r="DZ2" s="277"/>
      <c r="EA2" s="277"/>
      <c r="EB2" s="277"/>
      <c r="EC2" s="277"/>
      <c r="ED2" s="277"/>
      <c r="EE2" s="277"/>
      <c r="EF2" s="277"/>
      <c r="EG2" s="277"/>
      <c r="EH2" s="277"/>
      <c r="EI2" s="277"/>
      <c r="EJ2" s="276"/>
      <c r="EK2" s="276"/>
      <c r="EL2" s="276"/>
      <c r="EM2" s="276"/>
      <c r="EN2" s="276"/>
      <c r="EO2" s="276"/>
      <c r="EP2" s="276"/>
      <c r="EQ2" s="276"/>
      <c r="ER2" s="276"/>
      <c r="ES2" s="276"/>
      <c r="ET2" s="276"/>
      <c r="EU2" s="276"/>
      <c r="EV2" s="276"/>
      <c r="EW2" s="276"/>
      <c r="EX2" s="276"/>
      <c r="EY2" s="276"/>
      <c r="EZ2" s="276"/>
      <c r="FA2" s="276"/>
      <c r="FB2" s="276"/>
      <c r="FC2" s="276"/>
      <c r="FD2" s="276"/>
      <c r="FE2" s="276"/>
      <c r="FF2" s="276"/>
      <c r="FG2" s="276"/>
      <c r="FH2" s="276"/>
      <c r="FI2" s="276"/>
      <c r="FJ2" s="276"/>
      <c r="FK2" s="276"/>
      <c r="FL2" s="276"/>
      <c r="FM2" s="276"/>
      <c r="FN2" s="276"/>
      <c r="FO2" s="276"/>
      <c r="FP2" s="276"/>
      <c r="FQ2" s="276"/>
      <c r="FR2" s="276"/>
      <c r="FS2" s="276"/>
      <c r="FT2" s="276"/>
      <c r="FU2" s="276"/>
      <c r="FV2" s="276"/>
      <c r="FW2" s="276"/>
      <c r="FX2" s="276"/>
      <c r="FY2" s="276"/>
      <c r="FZ2" s="276"/>
      <c r="GA2" s="276"/>
      <c r="GB2" s="276"/>
      <c r="GC2" s="276"/>
      <c r="GD2" s="276"/>
      <c r="GE2" s="276"/>
      <c r="GF2" s="276"/>
      <c r="GG2" s="276"/>
      <c r="GH2" s="276"/>
      <c r="GI2" s="276"/>
      <c r="GJ2" s="276"/>
      <c r="GK2" s="276"/>
      <c r="GL2" s="276"/>
      <c r="GM2" s="276"/>
      <c r="GN2" s="276"/>
      <c r="GO2" s="276"/>
      <c r="GP2" s="276"/>
      <c r="GQ2" s="276"/>
      <c r="GR2" s="276"/>
      <c r="GS2" s="276"/>
      <c r="GT2" s="276"/>
      <c r="GU2" s="276"/>
      <c r="GV2" s="276"/>
      <c r="GW2" s="276"/>
      <c r="GX2" s="276"/>
      <c r="GY2" s="276"/>
      <c r="GZ2" s="276"/>
      <c r="HA2" s="276"/>
      <c r="HB2" s="276"/>
      <c r="HC2" s="276"/>
      <c r="HD2" s="276"/>
      <c r="HE2" s="276"/>
      <c r="HF2" s="276"/>
      <c r="HG2" s="276"/>
      <c r="HH2" s="276"/>
      <c r="HI2" s="276"/>
      <c r="HJ2" s="276"/>
      <c r="HK2" s="276"/>
      <c r="HL2" s="276"/>
      <c r="HM2" s="276"/>
      <c r="HN2" s="276"/>
      <c r="HO2" s="276"/>
      <c r="HP2" s="276"/>
      <c r="HQ2" s="276"/>
      <c r="HR2" s="276"/>
      <c r="HS2" s="276"/>
      <c r="HT2" s="276"/>
      <c r="HU2" s="276"/>
      <c r="HV2" s="276"/>
      <c r="HW2" s="276"/>
      <c r="HX2" s="276"/>
      <c r="HY2" s="276"/>
      <c r="HZ2" s="276"/>
      <c r="IA2" s="276"/>
      <c r="IB2" s="276"/>
      <c r="IC2" s="276"/>
      <c r="ID2" s="276"/>
      <c r="IE2" s="276"/>
      <c r="IF2" s="276"/>
      <c r="IG2" s="276"/>
      <c r="IH2" s="276"/>
      <c r="II2" s="276"/>
      <c r="IJ2" s="276"/>
      <c r="IK2" s="276"/>
      <c r="IL2" s="276"/>
      <c r="IM2" s="276"/>
      <c r="IN2" s="276"/>
      <c r="IO2" s="276"/>
      <c r="IP2" s="276"/>
      <c r="IQ2" s="276"/>
    </row>
    <row r="3" spans="1:251">
      <c r="A3" s="284"/>
      <c r="B3" s="285"/>
      <c r="C3" s="286"/>
      <c r="D3" s="286"/>
      <c r="E3" s="286"/>
      <c r="F3" s="286"/>
      <c r="G3" s="287"/>
      <c r="H3" s="276"/>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c r="AP3" s="277"/>
      <c r="AQ3" s="277"/>
      <c r="AR3" s="277"/>
      <c r="AS3" s="277"/>
      <c r="AT3" s="277"/>
      <c r="AU3" s="277"/>
      <c r="AV3" s="277"/>
      <c r="AW3" s="277"/>
      <c r="AX3" s="277"/>
      <c r="AY3" s="277"/>
      <c r="AZ3" s="277"/>
      <c r="BA3" s="277"/>
      <c r="BB3" s="277"/>
      <c r="BC3" s="277"/>
      <c r="BD3" s="277"/>
      <c r="BE3" s="277"/>
      <c r="BF3" s="277"/>
      <c r="BG3" s="277"/>
      <c r="BH3" s="277"/>
      <c r="BI3" s="277"/>
      <c r="BJ3" s="277"/>
      <c r="BK3" s="277"/>
      <c r="BL3" s="277"/>
      <c r="BM3" s="277"/>
      <c r="BN3" s="277"/>
      <c r="BO3" s="277"/>
      <c r="BP3" s="277"/>
      <c r="BQ3" s="277"/>
      <c r="BR3" s="277"/>
      <c r="BS3" s="277"/>
      <c r="BT3" s="277"/>
      <c r="BU3" s="277"/>
      <c r="BV3" s="277"/>
      <c r="BW3" s="277"/>
      <c r="BX3" s="277"/>
      <c r="BY3" s="277"/>
      <c r="BZ3" s="277"/>
      <c r="CA3" s="277"/>
      <c r="CB3" s="277"/>
      <c r="CC3" s="277"/>
      <c r="CD3" s="277"/>
      <c r="CE3" s="277"/>
      <c r="CF3" s="277"/>
      <c r="CG3" s="277"/>
      <c r="CH3" s="277"/>
      <c r="CI3" s="277"/>
      <c r="CJ3" s="277"/>
      <c r="CK3" s="277"/>
      <c r="CL3" s="277"/>
      <c r="CM3" s="277"/>
      <c r="CN3" s="277"/>
      <c r="CO3" s="277"/>
      <c r="CP3" s="277"/>
      <c r="CQ3" s="277"/>
      <c r="CR3" s="277"/>
      <c r="CS3" s="277"/>
      <c r="CT3" s="277"/>
      <c r="CU3" s="277"/>
      <c r="CV3" s="277"/>
      <c r="CW3" s="277"/>
      <c r="CX3" s="277"/>
      <c r="CY3" s="277"/>
      <c r="CZ3" s="277"/>
      <c r="DA3" s="277"/>
      <c r="DB3" s="277"/>
      <c r="DC3" s="277"/>
      <c r="DD3" s="277"/>
      <c r="DE3" s="277"/>
      <c r="DF3" s="277"/>
      <c r="DG3" s="277"/>
      <c r="DH3" s="277"/>
      <c r="DI3" s="277"/>
      <c r="DJ3" s="277"/>
      <c r="DK3" s="277"/>
      <c r="DL3" s="277"/>
      <c r="DM3" s="277"/>
      <c r="DN3" s="277"/>
      <c r="DO3" s="277"/>
      <c r="DP3" s="277"/>
      <c r="DQ3" s="277"/>
      <c r="DR3" s="277"/>
      <c r="DS3" s="277"/>
      <c r="DT3" s="277"/>
      <c r="DU3" s="277"/>
      <c r="DV3" s="277"/>
      <c r="DW3" s="277"/>
      <c r="DX3" s="277"/>
      <c r="DY3" s="277"/>
      <c r="DZ3" s="277"/>
      <c r="EA3" s="277"/>
      <c r="EB3" s="277"/>
      <c r="EC3" s="277"/>
      <c r="ED3" s="277"/>
      <c r="EE3" s="277"/>
      <c r="EF3" s="277"/>
      <c r="EG3" s="277"/>
      <c r="EH3" s="277"/>
      <c r="EI3" s="277"/>
      <c r="EJ3" s="276"/>
      <c r="EK3" s="276"/>
      <c r="EL3" s="276"/>
      <c r="EM3" s="276"/>
      <c r="EN3" s="276"/>
      <c r="EO3" s="276"/>
      <c r="EP3" s="276"/>
      <c r="EQ3" s="276"/>
      <c r="ER3" s="276"/>
      <c r="ES3" s="276"/>
      <c r="ET3" s="276"/>
      <c r="EU3" s="276"/>
      <c r="EV3" s="276"/>
      <c r="EW3" s="276"/>
      <c r="EX3" s="276"/>
      <c r="EY3" s="276"/>
      <c r="EZ3" s="276"/>
      <c r="FA3" s="276"/>
      <c r="FB3" s="276"/>
      <c r="FC3" s="276"/>
      <c r="FD3" s="276"/>
      <c r="FE3" s="276"/>
      <c r="FF3" s="276"/>
      <c r="FG3" s="276"/>
      <c r="FH3" s="276"/>
      <c r="FI3" s="276"/>
      <c r="FJ3" s="276"/>
      <c r="FK3" s="276"/>
      <c r="FL3" s="276"/>
      <c r="FM3" s="276"/>
      <c r="FN3" s="276"/>
      <c r="FO3" s="276"/>
      <c r="FP3" s="276"/>
      <c r="FQ3" s="276"/>
      <c r="FR3" s="276"/>
      <c r="FS3" s="276"/>
      <c r="FT3" s="276"/>
      <c r="FU3" s="276"/>
      <c r="FV3" s="276"/>
      <c r="FW3" s="276"/>
      <c r="FX3" s="276"/>
      <c r="FY3" s="276"/>
      <c r="FZ3" s="276"/>
      <c r="GA3" s="276"/>
      <c r="GB3" s="276"/>
      <c r="GC3" s="276"/>
      <c r="GD3" s="276"/>
      <c r="GE3" s="276"/>
      <c r="GF3" s="276"/>
      <c r="GG3" s="276"/>
      <c r="GH3" s="276"/>
      <c r="GI3" s="276"/>
      <c r="GJ3" s="276"/>
      <c r="GK3" s="276"/>
      <c r="GL3" s="276"/>
      <c r="GM3" s="276"/>
      <c r="GN3" s="276"/>
      <c r="GO3" s="276"/>
      <c r="GP3" s="276"/>
      <c r="GQ3" s="276"/>
      <c r="GR3" s="276"/>
      <c r="GS3" s="276"/>
      <c r="GT3" s="276"/>
      <c r="GU3" s="276"/>
      <c r="GV3" s="276"/>
      <c r="GW3" s="276"/>
      <c r="GX3" s="276"/>
      <c r="GY3" s="276"/>
      <c r="GZ3" s="276"/>
      <c r="HA3" s="276"/>
      <c r="HB3" s="276"/>
      <c r="HC3" s="276"/>
      <c r="HD3" s="276"/>
      <c r="HE3" s="276"/>
      <c r="HF3" s="276"/>
      <c r="HG3" s="276"/>
      <c r="HH3" s="276"/>
      <c r="HI3" s="276"/>
      <c r="HJ3" s="276"/>
      <c r="HK3" s="276"/>
      <c r="HL3" s="276"/>
      <c r="HM3" s="276"/>
      <c r="HN3" s="276"/>
      <c r="HO3" s="276"/>
      <c r="HP3" s="276"/>
      <c r="HQ3" s="276"/>
      <c r="HR3" s="276"/>
      <c r="HS3" s="276"/>
      <c r="HT3" s="276"/>
      <c r="HU3" s="276"/>
      <c r="HV3" s="276"/>
      <c r="HW3" s="276"/>
      <c r="HX3" s="276"/>
      <c r="HY3" s="276"/>
      <c r="HZ3" s="276"/>
      <c r="IA3" s="276"/>
      <c r="IB3" s="276"/>
      <c r="IC3" s="276"/>
      <c r="ID3" s="276"/>
      <c r="IE3" s="276"/>
      <c r="IF3" s="276"/>
      <c r="IG3" s="276"/>
      <c r="IH3" s="276"/>
      <c r="II3" s="276"/>
      <c r="IJ3" s="276"/>
      <c r="IK3" s="276"/>
      <c r="IL3" s="276"/>
      <c r="IM3" s="276"/>
      <c r="IN3" s="276"/>
      <c r="IO3" s="276"/>
      <c r="IP3" s="276"/>
      <c r="IQ3" s="276"/>
    </row>
    <row r="4" spans="1:251" ht="13.5" thickBot="1">
      <c r="A4" s="288" t="s">
        <v>25</v>
      </c>
      <c r="B4" s="289"/>
      <c r="C4" s="290" t="s">
        <v>26</v>
      </c>
      <c r="D4" s="291"/>
      <c r="E4" s="291"/>
      <c r="F4" s="291"/>
      <c r="G4" s="292"/>
      <c r="H4" s="276"/>
      <c r="I4" s="277"/>
      <c r="J4" s="277"/>
      <c r="K4" s="277"/>
      <c r="L4" s="277"/>
      <c r="M4" s="277"/>
      <c r="N4" s="277"/>
      <c r="O4" s="277"/>
      <c r="P4" s="277"/>
      <c r="Q4" s="277"/>
      <c r="R4" s="277"/>
      <c r="S4" s="277"/>
      <c r="T4" s="277"/>
      <c r="U4" s="277"/>
      <c r="V4" s="277"/>
      <c r="W4" s="277"/>
      <c r="X4" s="277"/>
      <c r="Y4" s="277"/>
      <c r="Z4" s="277"/>
      <c r="AA4" s="277"/>
      <c r="AB4" s="277"/>
      <c r="AC4" s="277"/>
      <c r="AD4" s="277"/>
      <c r="AE4" s="277"/>
      <c r="AF4" s="277"/>
      <c r="AG4" s="277"/>
      <c r="AH4" s="277"/>
      <c r="AI4" s="277"/>
      <c r="AJ4" s="277"/>
      <c r="AK4" s="277"/>
      <c r="AL4" s="277"/>
      <c r="AM4" s="277"/>
      <c r="AN4" s="277"/>
      <c r="AO4" s="277"/>
      <c r="AP4" s="277"/>
      <c r="AQ4" s="277"/>
      <c r="AR4" s="277"/>
      <c r="AS4" s="277"/>
      <c r="AT4" s="277"/>
      <c r="AU4" s="277"/>
      <c r="AV4" s="277"/>
      <c r="AW4" s="277"/>
      <c r="AX4" s="277"/>
      <c r="AY4" s="277"/>
      <c r="AZ4" s="277"/>
      <c r="BA4" s="277"/>
      <c r="BB4" s="277"/>
      <c r="BC4" s="277"/>
      <c r="BD4" s="277"/>
      <c r="BE4" s="277"/>
      <c r="BF4" s="277"/>
      <c r="BG4" s="277"/>
      <c r="BH4" s="277"/>
      <c r="BI4" s="277"/>
      <c r="BJ4" s="277"/>
      <c r="BK4" s="277"/>
      <c r="BL4" s="277"/>
      <c r="BM4" s="277"/>
      <c r="BN4" s="277"/>
      <c r="BO4" s="277"/>
      <c r="BP4" s="277"/>
      <c r="BQ4" s="277"/>
      <c r="BR4" s="277"/>
      <c r="BS4" s="277"/>
      <c r="BT4" s="277"/>
      <c r="BU4" s="277"/>
      <c r="BV4" s="277"/>
      <c r="BW4" s="277"/>
      <c r="BX4" s="277"/>
      <c r="BY4" s="277"/>
      <c r="BZ4" s="277"/>
      <c r="CA4" s="277"/>
      <c r="CB4" s="277"/>
      <c r="CC4" s="277"/>
      <c r="CD4" s="277"/>
      <c r="CE4" s="277"/>
      <c r="CF4" s="277"/>
      <c r="CG4" s="277"/>
      <c r="CH4" s="277"/>
      <c r="CI4" s="277"/>
      <c r="CJ4" s="277"/>
      <c r="CK4" s="277"/>
      <c r="CL4" s="277"/>
      <c r="CM4" s="277"/>
      <c r="CN4" s="277"/>
      <c r="CO4" s="277"/>
      <c r="CP4" s="277"/>
      <c r="CQ4" s="277"/>
      <c r="CR4" s="277"/>
      <c r="CS4" s="277"/>
      <c r="CT4" s="277"/>
      <c r="CU4" s="277"/>
      <c r="CV4" s="277"/>
      <c r="CW4" s="277"/>
      <c r="CX4" s="277"/>
      <c r="CY4" s="277"/>
      <c r="CZ4" s="277"/>
      <c r="DA4" s="277"/>
      <c r="DB4" s="277"/>
      <c r="DC4" s="277"/>
      <c r="DD4" s="277"/>
      <c r="DE4" s="277"/>
      <c r="DF4" s="277"/>
      <c r="DG4" s="277"/>
      <c r="DH4" s="277"/>
      <c r="DI4" s="277"/>
      <c r="DJ4" s="277"/>
      <c r="DK4" s="277"/>
      <c r="DL4" s="277"/>
      <c r="DM4" s="277"/>
      <c r="DN4" s="277"/>
      <c r="DO4" s="277"/>
      <c r="DP4" s="277"/>
      <c r="DQ4" s="277"/>
      <c r="DR4" s="277"/>
      <c r="DS4" s="277"/>
      <c r="DT4" s="277"/>
      <c r="DU4" s="277"/>
      <c r="DV4" s="277"/>
      <c r="DW4" s="277"/>
      <c r="DX4" s="277"/>
      <c r="DY4" s="277"/>
      <c r="DZ4" s="277"/>
      <c r="EA4" s="277"/>
      <c r="EB4" s="277"/>
      <c r="EC4" s="277"/>
      <c r="ED4" s="277"/>
      <c r="EE4" s="277"/>
      <c r="EF4" s="277"/>
      <c r="EG4" s="277"/>
      <c r="EH4" s="277"/>
      <c r="EI4" s="277"/>
      <c r="EJ4" s="276"/>
      <c r="EK4" s="276"/>
      <c r="EL4" s="276"/>
      <c r="EM4" s="276"/>
      <c r="EN4" s="276"/>
      <c r="EO4" s="276"/>
      <c r="EP4" s="276"/>
      <c r="EQ4" s="276"/>
      <c r="ER4" s="276"/>
      <c r="ES4" s="276"/>
      <c r="ET4" s="276"/>
      <c r="EU4" s="276"/>
      <c r="EV4" s="276"/>
      <c r="EW4" s="276"/>
      <c r="EX4" s="276"/>
      <c r="EY4" s="276"/>
      <c r="EZ4" s="276"/>
      <c r="FA4" s="276"/>
      <c r="FB4" s="276"/>
      <c r="FC4" s="276"/>
      <c r="FD4" s="276"/>
      <c r="FE4" s="276"/>
      <c r="FF4" s="276"/>
      <c r="FG4" s="276"/>
      <c r="FH4" s="276"/>
      <c r="FI4" s="276"/>
      <c r="FJ4" s="276"/>
      <c r="FK4" s="276"/>
      <c r="FL4" s="276"/>
      <c r="FM4" s="276"/>
      <c r="FN4" s="276"/>
      <c r="FO4" s="276"/>
      <c r="FP4" s="276"/>
      <c r="FQ4" s="276"/>
      <c r="FR4" s="276"/>
      <c r="FS4" s="276"/>
      <c r="FT4" s="276"/>
      <c r="FU4" s="276"/>
      <c r="FV4" s="276"/>
      <c r="FW4" s="276"/>
      <c r="FX4" s="276"/>
      <c r="FY4" s="276"/>
      <c r="FZ4" s="276"/>
      <c r="GA4" s="276"/>
      <c r="GB4" s="276"/>
      <c r="GC4" s="276"/>
      <c r="GD4" s="276"/>
      <c r="GE4" s="276"/>
      <c r="GF4" s="276"/>
      <c r="GG4" s="276"/>
      <c r="GH4" s="276"/>
      <c r="GI4" s="276"/>
      <c r="GJ4" s="276"/>
      <c r="GK4" s="276"/>
      <c r="GL4" s="276"/>
      <c r="GM4" s="276"/>
      <c r="GN4" s="276"/>
      <c r="GO4" s="276"/>
      <c r="GP4" s="276"/>
      <c r="GQ4" s="276"/>
      <c r="GR4" s="276"/>
      <c r="GS4" s="276"/>
      <c r="GT4" s="276"/>
      <c r="GU4" s="276"/>
      <c r="GV4" s="276"/>
      <c r="GW4" s="276"/>
      <c r="GX4" s="276"/>
      <c r="GY4" s="276"/>
      <c r="GZ4" s="276"/>
      <c r="HA4" s="276"/>
      <c r="HB4" s="276"/>
      <c r="HC4" s="276"/>
      <c r="HD4" s="276"/>
      <c r="HE4" s="276"/>
      <c r="HF4" s="276"/>
      <c r="HG4" s="276"/>
      <c r="HH4" s="276"/>
      <c r="HI4" s="276"/>
      <c r="HJ4" s="276"/>
      <c r="HK4" s="276"/>
      <c r="HL4" s="276"/>
      <c r="HM4" s="276"/>
      <c r="HN4" s="276"/>
      <c r="HO4" s="276"/>
      <c r="HP4" s="276"/>
      <c r="HQ4" s="276"/>
      <c r="HR4" s="276"/>
      <c r="HS4" s="276"/>
      <c r="HT4" s="276"/>
      <c r="HU4" s="276"/>
      <c r="HV4" s="276"/>
      <c r="HW4" s="276"/>
      <c r="HX4" s="276"/>
      <c r="HY4" s="276"/>
      <c r="HZ4" s="276"/>
      <c r="IA4" s="276"/>
      <c r="IB4" s="276"/>
      <c r="IC4" s="276"/>
      <c r="ID4" s="276"/>
      <c r="IE4" s="276"/>
      <c r="IF4" s="276"/>
      <c r="IG4" s="276"/>
      <c r="IH4" s="276"/>
      <c r="II4" s="276"/>
      <c r="IJ4" s="276"/>
      <c r="IK4" s="276"/>
      <c r="IL4" s="276"/>
      <c r="IM4" s="276"/>
      <c r="IN4" s="276"/>
      <c r="IO4" s="276"/>
      <c r="IP4" s="276"/>
      <c r="IQ4" s="276"/>
    </row>
    <row r="5" spans="1:251" ht="13.5" thickTop="1"/>
    <row r="6" spans="1:251">
      <c r="F6" s="294"/>
      <c r="G6" s="294"/>
      <c r="H6" s="295"/>
    </row>
    <row r="7" spans="1:251" ht="25.5">
      <c r="A7" s="1" t="s">
        <v>27</v>
      </c>
      <c r="B7" s="2" t="s">
        <v>28</v>
      </c>
      <c r="C7" s="3" t="s">
        <v>19</v>
      </c>
      <c r="D7" s="140" t="s">
        <v>29</v>
      </c>
      <c r="E7" s="141"/>
      <c r="F7" s="141"/>
      <c r="G7" s="141"/>
      <c r="H7" s="4" t="s">
        <v>30</v>
      </c>
      <c r="J7" s="296"/>
      <c r="N7" s="297"/>
    </row>
    <row r="8" spans="1:251" ht="15" customHeight="1">
      <c r="A8" s="139">
        <v>1</v>
      </c>
      <c r="B8" s="5" t="s">
        <v>31</v>
      </c>
      <c r="C8" s="6" t="s">
        <v>32</v>
      </c>
      <c r="D8" s="7" t="s">
        <v>33</v>
      </c>
      <c r="E8" s="8">
        <v>1</v>
      </c>
      <c r="F8" s="312"/>
      <c r="G8" s="8">
        <f>(E8*F8)</f>
        <v>0</v>
      </c>
      <c r="H8" s="298" t="s">
        <v>739</v>
      </c>
      <c r="I8" s="299"/>
      <c r="J8" s="300"/>
      <c r="K8" s="300"/>
      <c r="L8" s="301"/>
      <c r="N8" s="301"/>
      <c r="P8" s="302"/>
    </row>
    <row r="9" spans="1:251" ht="38.25" customHeight="1">
      <c r="A9" s="139"/>
      <c r="B9" s="5"/>
      <c r="C9" s="9" t="s">
        <v>34</v>
      </c>
      <c r="D9" s="7"/>
      <c r="E9" s="8"/>
      <c r="F9" s="8"/>
      <c r="G9" s="8"/>
      <c r="H9" s="298"/>
      <c r="I9" s="299"/>
      <c r="J9" s="300"/>
    </row>
    <row r="10" spans="1:251" ht="13.5" customHeight="1">
      <c r="A10" s="139"/>
      <c r="B10" s="5"/>
      <c r="C10" s="9" t="s">
        <v>35</v>
      </c>
      <c r="D10" s="7"/>
      <c r="E10" s="8"/>
      <c r="F10" s="8"/>
      <c r="G10" s="8"/>
      <c r="H10" s="298"/>
      <c r="J10" s="300"/>
    </row>
    <row r="11" spans="1:251" ht="25.5" customHeight="1">
      <c r="A11" s="139"/>
      <c r="B11" s="5"/>
      <c r="C11" s="9" t="s">
        <v>36</v>
      </c>
      <c r="D11" s="7"/>
      <c r="E11" s="8"/>
      <c r="F11" s="8"/>
      <c r="G11" s="8"/>
      <c r="H11" s="298"/>
      <c r="J11" s="300"/>
    </row>
    <row r="12" spans="1:251" ht="39.75" customHeight="1">
      <c r="A12" s="139"/>
      <c r="B12" s="5"/>
      <c r="C12" s="9" t="s">
        <v>37</v>
      </c>
      <c r="D12" s="7"/>
      <c r="E12" s="8"/>
      <c r="F12" s="8"/>
      <c r="G12" s="8"/>
      <c r="H12" s="298"/>
      <c r="J12" s="300"/>
    </row>
    <row r="13" spans="1:251" ht="24.75" customHeight="1">
      <c r="A13" s="139"/>
      <c r="B13" s="5"/>
      <c r="C13" s="9" t="s">
        <v>38</v>
      </c>
      <c r="D13" s="7"/>
      <c r="E13" s="8"/>
      <c r="F13" s="8"/>
      <c r="G13" s="8"/>
      <c r="H13" s="298"/>
      <c r="I13" s="303"/>
      <c r="J13" s="300"/>
    </row>
    <row r="14" spans="1:251" ht="13.5" customHeight="1">
      <c r="A14" s="139"/>
      <c r="B14" s="5"/>
      <c r="C14" s="9" t="s">
        <v>39</v>
      </c>
      <c r="D14" s="7"/>
      <c r="E14" s="8"/>
      <c r="F14" s="8"/>
      <c r="G14" s="8"/>
      <c r="H14" s="298"/>
      <c r="J14" s="304"/>
    </row>
    <row r="15" spans="1:251" ht="15" customHeight="1">
      <c r="A15" s="139">
        <v>2</v>
      </c>
      <c r="B15" s="5" t="s">
        <v>40</v>
      </c>
      <c r="C15" s="6" t="s">
        <v>41</v>
      </c>
      <c r="D15" s="7" t="s">
        <v>33</v>
      </c>
      <c r="E15" s="8">
        <v>1</v>
      </c>
      <c r="F15" s="312"/>
      <c r="G15" s="8">
        <f>(E15*F15)</f>
        <v>0</v>
      </c>
      <c r="H15" s="298" t="s">
        <v>739</v>
      </c>
      <c r="I15" s="299"/>
      <c r="J15" s="300"/>
      <c r="K15" s="300"/>
      <c r="L15" s="301"/>
      <c r="N15" s="301"/>
      <c r="P15" s="302"/>
    </row>
    <row r="16" spans="1:251" ht="103.5" customHeight="1">
      <c r="A16" s="139"/>
      <c r="B16" s="5"/>
      <c r="C16" s="9" t="s">
        <v>42</v>
      </c>
      <c r="D16" s="7"/>
      <c r="E16" s="8"/>
      <c r="F16" s="8"/>
      <c r="G16" s="8"/>
      <c r="H16" s="298"/>
      <c r="I16" s="299"/>
      <c r="J16" s="300"/>
    </row>
    <row r="17" spans="1:16" ht="63.75" customHeight="1">
      <c r="A17" s="139"/>
      <c r="B17" s="5"/>
      <c r="C17" s="9" t="s">
        <v>43</v>
      </c>
      <c r="D17" s="7"/>
      <c r="E17" s="8"/>
      <c r="F17" s="8"/>
      <c r="G17" s="8"/>
      <c r="H17" s="298"/>
      <c r="J17" s="300"/>
    </row>
    <row r="18" spans="1:16" ht="28.5" customHeight="1">
      <c r="A18" s="139"/>
      <c r="B18" s="5"/>
      <c r="C18" s="9" t="s">
        <v>44</v>
      </c>
      <c r="D18" s="7"/>
      <c r="E18" s="8"/>
      <c r="F18" s="8"/>
      <c r="G18" s="8"/>
      <c r="H18" s="298"/>
      <c r="J18" s="300"/>
    </row>
    <row r="19" spans="1:16" ht="33.75">
      <c r="A19" s="139">
        <v>3</v>
      </c>
      <c r="B19" s="5" t="s">
        <v>45</v>
      </c>
      <c r="C19" s="10" t="s">
        <v>46</v>
      </c>
      <c r="D19" s="11" t="s">
        <v>33</v>
      </c>
      <c r="E19" s="12">
        <v>1</v>
      </c>
      <c r="F19" s="312"/>
      <c r="G19" s="13">
        <f>(E19*F19)</f>
        <v>0</v>
      </c>
      <c r="H19" s="298" t="s">
        <v>739</v>
      </c>
      <c r="I19" s="299"/>
      <c r="J19" s="300"/>
      <c r="K19" s="300"/>
      <c r="L19" s="301"/>
      <c r="N19" s="301"/>
      <c r="P19" s="302"/>
    </row>
    <row r="20" spans="1:16" ht="15" customHeight="1">
      <c r="A20" s="139">
        <v>4</v>
      </c>
      <c r="B20" s="5" t="s">
        <v>47</v>
      </c>
      <c r="C20" s="6" t="s">
        <v>48</v>
      </c>
      <c r="D20" s="7" t="s">
        <v>33</v>
      </c>
      <c r="E20" s="8">
        <v>1</v>
      </c>
      <c r="F20" s="312"/>
      <c r="G20" s="8">
        <f>(E20*F20)</f>
        <v>0</v>
      </c>
      <c r="H20" s="298" t="s">
        <v>739</v>
      </c>
      <c r="I20" s="299"/>
      <c r="J20" s="300"/>
      <c r="K20" s="300"/>
      <c r="L20" s="301"/>
      <c r="N20" s="301"/>
      <c r="P20" s="302"/>
    </row>
    <row r="21" spans="1:16" ht="27.75" customHeight="1">
      <c r="A21" s="139"/>
      <c r="B21" s="5"/>
      <c r="C21" s="9" t="s">
        <v>49</v>
      </c>
      <c r="D21" s="7"/>
      <c r="E21" s="8"/>
      <c r="F21" s="8"/>
      <c r="G21" s="8"/>
      <c r="H21" s="298"/>
      <c r="I21" s="299"/>
      <c r="J21" s="300"/>
    </row>
    <row r="22" spans="1:16" ht="41.25" customHeight="1">
      <c r="A22" s="139"/>
      <c r="B22" s="5"/>
      <c r="C22" s="9" t="s">
        <v>50</v>
      </c>
      <c r="D22" s="7"/>
      <c r="E22" s="8"/>
      <c r="F22" s="8"/>
      <c r="G22" s="8"/>
      <c r="H22" s="298"/>
      <c r="J22" s="300"/>
    </row>
    <row r="23" spans="1:16" ht="41.25" customHeight="1">
      <c r="A23" s="139"/>
      <c r="B23" s="5"/>
      <c r="C23" s="9" t="s">
        <v>51</v>
      </c>
      <c r="D23" s="7"/>
      <c r="E23" s="8"/>
      <c r="F23" s="8"/>
      <c r="G23" s="8"/>
      <c r="H23" s="298"/>
      <c r="J23" s="300"/>
    </row>
    <row r="24" spans="1:16" ht="25.5" customHeight="1">
      <c r="A24" s="139"/>
      <c r="B24" s="5"/>
      <c r="C24" s="9" t="s">
        <v>52</v>
      </c>
      <c r="D24" s="7"/>
      <c r="E24" s="8"/>
      <c r="F24" s="8"/>
      <c r="G24" s="8"/>
      <c r="H24" s="298"/>
      <c r="J24" s="300"/>
    </row>
    <row r="25" spans="1:16" ht="25.5" customHeight="1">
      <c r="A25" s="139"/>
      <c r="B25" s="5"/>
      <c r="C25" s="9" t="s">
        <v>53</v>
      </c>
      <c r="D25" s="7"/>
      <c r="E25" s="8"/>
      <c r="F25" s="8"/>
      <c r="G25" s="8"/>
      <c r="H25" s="298"/>
      <c r="J25" s="300"/>
    </row>
    <row r="26" spans="1:16" ht="25.5" customHeight="1">
      <c r="A26" s="139"/>
      <c r="B26" s="5"/>
      <c r="C26" s="9" t="s">
        <v>54</v>
      </c>
      <c r="D26" s="7"/>
      <c r="E26" s="8"/>
      <c r="F26" s="8"/>
      <c r="G26" s="8"/>
      <c r="H26" s="298"/>
      <c r="J26" s="300"/>
    </row>
    <row r="27" spans="1:16" ht="13.5" customHeight="1">
      <c r="A27" s="139"/>
      <c r="B27" s="5"/>
      <c r="C27" s="9" t="s">
        <v>55</v>
      </c>
      <c r="D27" s="7"/>
      <c r="E27" s="8"/>
      <c r="F27" s="8"/>
      <c r="G27" s="8"/>
      <c r="H27" s="298"/>
      <c r="J27" s="300"/>
    </row>
    <row r="28" spans="1:16" ht="15" customHeight="1">
      <c r="A28" s="139">
        <v>5</v>
      </c>
      <c r="B28" s="5" t="s">
        <v>56</v>
      </c>
      <c r="C28" s="6" t="s">
        <v>57</v>
      </c>
      <c r="D28" s="7" t="s">
        <v>33</v>
      </c>
      <c r="E28" s="8">
        <v>1</v>
      </c>
      <c r="F28" s="312"/>
      <c r="G28" s="8">
        <f>(E28*F28)</f>
        <v>0</v>
      </c>
      <c r="H28" s="298" t="s">
        <v>739</v>
      </c>
      <c r="I28" s="299"/>
      <c r="J28" s="300"/>
      <c r="K28" s="300"/>
      <c r="L28" s="301"/>
      <c r="N28" s="301"/>
      <c r="P28" s="302"/>
    </row>
    <row r="29" spans="1:16" ht="15" customHeight="1">
      <c r="A29" s="139">
        <v>6</v>
      </c>
      <c r="B29" s="5" t="s">
        <v>58</v>
      </c>
      <c r="C29" s="6" t="s">
        <v>59</v>
      </c>
      <c r="D29" s="7" t="s">
        <v>33</v>
      </c>
      <c r="E29" s="8">
        <v>1</v>
      </c>
      <c r="F29" s="312"/>
      <c r="G29" s="8">
        <f>(E29*F29)</f>
        <v>0</v>
      </c>
      <c r="H29" s="298" t="s">
        <v>739</v>
      </c>
      <c r="I29" s="299"/>
      <c r="J29" s="300"/>
      <c r="K29" s="300"/>
      <c r="L29" s="301"/>
      <c r="N29" s="301"/>
      <c r="P29" s="302"/>
    </row>
    <row r="30" spans="1:16" ht="56.25">
      <c r="A30" s="139"/>
      <c r="B30" s="5"/>
      <c r="C30" s="9" t="s">
        <v>60</v>
      </c>
      <c r="D30" s="7"/>
      <c r="E30" s="8"/>
      <c r="F30" s="8"/>
      <c r="G30" s="8"/>
      <c r="H30" s="14"/>
      <c r="I30" s="305"/>
      <c r="J30" s="300"/>
    </row>
    <row r="31" spans="1:16" ht="15" customHeight="1">
      <c r="A31" s="139">
        <v>7</v>
      </c>
      <c r="B31" s="5" t="s">
        <v>61</v>
      </c>
      <c r="C31" s="6" t="s">
        <v>295</v>
      </c>
      <c r="D31" s="7" t="s">
        <v>33</v>
      </c>
      <c r="E31" s="8">
        <v>1</v>
      </c>
      <c r="F31" s="312"/>
      <c r="G31" s="8">
        <f>(E31*F31)</f>
        <v>0</v>
      </c>
      <c r="H31" s="298" t="s">
        <v>739</v>
      </c>
      <c r="I31" s="299"/>
      <c r="J31" s="300"/>
      <c r="K31" s="300"/>
      <c r="L31" s="301"/>
      <c r="N31" s="301"/>
      <c r="P31" s="302"/>
    </row>
    <row r="32" spans="1:16" ht="33.75">
      <c r="A32" s="139"/>
      <c r="B32" s="5"/>
      <c r="C32" s="9" t="s">
        <v>296</v>
      </c>
      <c r="D32" s="7"/>
      <c r="E32" s="8"/>
      <c r="F32" s="8"/>
      <c r="G32" s="8"/>
      <c r="H32" s="14"/>
      <c r="I32" s="305"/>
      <c r="J32" s="300"/>
    </row>
    <row r="33" spans="1:16" ht="15" customHeight="1">
      <c r="A33" s="139">
        <v>8</v>
      </c>
      <c r="B33" s="5" t="s">
        <v>294</v>
      </c>
      <c r="C33" s="6" t="s">
        <v>62</v>
      </c>
      <c r="D33" s="7" t="s">
        <v>33</v>
      </c>
      <c r="E33" s="8">
        <v>1</v>
      </c>
      <c r="F33" s="312"/>
      <c r="G33" s="8">
        <f>(E33*F33)</f>
        <v>0</v>
      </c>
      <c r="H33" s="298" t="s">
        <v>739</v>
      </c>
      <c r="I33" s="299"/>
      <c r="J33" s="300"/>
      <c r="K33" s="300"/>
      <c r="L33" s="301"/>
      <c r="N33" s="301"/>
      <c r="P33" s="302"/>
    </row>
    <row r="34" spans="1:16" ht="13.5" customHeight="1">
      <c r="A34" s="139"/>
      <c r="B34" s="5"/>
      <c r="C34" s="9" t="s">
        <v>63</v>
      </c>
      <c r="D34" s="7"/>
      <c r="E34" s="8"/>
      <c r="F34" s="8"/>
      <c r="G34" s="8"/>
      <c r="H34" s="298"/>
      <c r="J34" s="306"/>
    </row>
    <row r="35" spans="1:16" ht="36" customHeight="1">
      <c r="A35" s="139"/>
      <c r="B35" s="5"/>
      <c r="C35" s="9" t="s">
        <v>64</v>
      </c>
      <c r="D35" s="7"/>
      <c r="E35" s="8"/>
      <c r="F35" s="8"/>
      <c r="G35" s="8"/>
      <c r="H35" s="298"/>
      <c r="J35" s="306"/>
    </row>
    <row r="36" spans="1:16" ht="13.5" customHeight="1">
      <c r="A36" s="139"/>
      <c r="B36" s="5"/>
      <c r="C36" s="9" t="s">
        <v>65</v>
      </c>
      <c r="D36" s="7"/>
      <c r="E36" s="8"/>
      <c r="F36" s="8"/>
      <c r="G36" s="8"/>
      <c r="H36" s="298"/>
      <c r="J36" s="306"/>
    </row>
    <row r="37" spans="1:16" ht="15" customHeight="1">
      <c r="A37" s="15"/>
      <c r="B37" s="16" t="s">
        <v>66</v>
      </c>
      <c r="C37" s="17" t="str">
        <f>CONCATENATE(B7," ",C7)</f>
        <v>000 Vedlejší rozpočtové a ostatní náklady</v>
      </c>
      <c r="D37" s="18"/>
      <c r="E37" s="19"/>
      <c r="F37" s="20"/>
      <c r="G37" s="21">
        <f>SUM(G8:G36)</f>
        <v>0</v>
      </c>
      <c r="H37" s="295"/>
    </row>
    <row r="38" spans="1:16">
      <c r="F38" s="294"/>
      <c r="G38" s="294"/>
      <c r="H38" s="295"/>
    </row>
    <row r="39" spans="1:16">
      <c r="A39" s="307" t="s">
        <v>22</v>
      </c>
      <c r="B39" s="308"/>
      <c r="C39" s="307"/>
      <c r="D39" s="69"/>
      <c r="E39" s="307"/>
      <c r="F39" s="307"/>
      <c r="G39" s="307"/>
      <c r="H39" s="295"/>
    </row>
    <row r="40" spans="1:16" ht="23.25" customHeight="1">
      <c r="A40" s="143" t="s">
        <v>67</v>
      </c>
      <c r="B40" s="309"/>
      <c r="C40" s="309"/>
      <c r="D40" s="309"/>
      <c r="E40" s="309"/>
      <c r="F40" s="309"/>
      <c r="G40" s="309"/>
      <c r="H40" s="295"/>
    </row>
    <row r="41" spans="1:16" ht="100.5" customHeight="1">
      <c r="A41" s="310" t="s">
        <v>68</v>
      </c>
      <c r="B41" s="310"/>
      <c r="C41" s="310"/>
      <c r="D41" s="310"/>
      <c r="E41" s="310"/>
      <c r="F41" s="310"/>
      <c r="G41" s="310"/>
      <c r="H41" s="295"/>
    </row>
    <row r="42" spans="1:16" ht="13.5" customHeight="1">
      <c r="A42" s="143" t="s">
        <v>69</v>
      </c>
      <c r="B42" s="311"/>
      <c r="C42" s="311"/>
      <c r="D42" s="311"/>
      <c r="E42" s="311"/>
      <c r="F42" s="311"/>
      <c r="G42" s="311"/>
      <c r="H42" s="295"/>
    </row>
    <row r="43" spans="1:16" ht="13.5" customHeight="1">
      <c r="A43" s="143" t="s">
        <v>70</v>
      </c>
      <c r="B43" s="311"/>
      <c r="C43" s="311"/>
      <c r="D43" s="311"/>
      <c r="E43" s="311"/>
      <c r="F43" s="311"/>
      <c r="G43" s="311"/>
      <c r="H43" s="295"/>
    </row>
    <row r="44" spans="1:16">
      <c r="F44" s="294"/>
      <c r="G44" s="294"/>
      <c r="H44" s="295"/>
    </row>
    <row r="45" spans="1:16">
      <c r="F45" s="294"/>
      <c r="G45" s="294"/>
      <c r="H45" s="295"/>
    </row>
    <row r="46" spans="1:16">
      <c r="F46" s="294"/>
      <c r="G46" s="294"/>
      <c r="H46" s="295"/>
    </row>
    <row r="47" spans="1:16">
      <c r="F47" s="294"/>
      <c r="G47" s="294"/>
      <c r="H47" s="295"/>
    </row>
    <row r="48" spans="1:16">
      <c r="F48" s="294"/>
      <c r="G48" s="294"/>
      <c r="H48" s="295"/>
    </row>
    <row r="49" spans="6:8">
      <c r="F49" s="294"/>
      <c r="G49" s="294"/>
      <c r="H49" s="295"/>
    </row>
    <row r="50" spans="6:8">
      <c r="F50" s="294"/>
      <c r="G50" s="294"/>
      <c r="H50" s="295"/>
    </row>
    <row r="51" spans="6:8">
      <c r="F51" s="294"/>
      <c r="G51" s="294"/>
      <c r="H51" s="295"/>
    </row>
    <row r="52" spans="6:8">
      <c r="F52" s="294"/>
      <c r="G52" s="294"/>
      <c r="H52" s="295"/>
    </row>
    <row r="53" spans="6:8">
      <c r="F53" s="294"/>
      <c r="G53" s="294"/>
      <c r="H53" s="295"/>
    </row>
    <row r="54" spans="6:8">
      <c r="F54" s="294"/>
      <c r="G54" s="294"/>
      <c r="H54" s="295"/>
    </row>
  </sheetData>
  <sheetProtection algorithmName="SHA-512" hashValue="zGexLwudxGQDdn25J6U8opcs3IYFbaNrIRphdhon01p5sITQGbgGFG9/NCtMoJz79WNYJNZyR4akRtVooF+T2w==" saltValue="0gpsfdlS5/05zHdMYZfrrA==" spinCount="100000" sheet="1" objects="1" scenarios="1"/>
  <mergeCells count="9">
    <mergeCell ref="A41:G41"/>
    <mergeCell ref="A42:G42"/>
    <mergeCell ref="A43:G43"/>
    <mergeCell ref="A2:B2"/>
    <mergeCell ref="C2:G3"/>
    <mergeCell ref="A4:B4"/>
    <mergeCell ref="C4:G4"/>
    <mergeCell ref="D7:G7"/>
    <mergeCell ref="A40:G40"/>
  </mergeCells>
  <printOptions horizontalCentered="1"/>
  <pageMargins left="0.39370078740157483" right="0.39370078740157483" top="0.59055118110236227" bottom="0.19685039370078741" header="0" footer="0"/>
  <pageSetup paperSize="9" scale="76" fitToHeight="9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B1818-1CE6-41EC-9CB4-13B4044F9EEE}">
  <sheetPr>
    <pageSetUpPr fitToPage="1"/>
  </sheetPr>
  <dimension ref="A1:DU69"/>
  <sheetViews>
    <sheetView zoomScaleNormal="100" workbookViewId="0"/>
  </sheetViews>
  <sheetFormatPr defaultColWidth="9" defaultRowHeight="12" customHeight="1"/>
  <cols>
    <col min="1" max="1" width="4.140625" style="498" customWidth="1"/>
    <col min="2" max="2" width="4.28515625" style="499" customWidth="1"/>
    <col min="3" max="3" width="13.5703125" style="499" customWidth="1"/>
    <col min="4" max="4" width="65" style="499" customWidth="1"/>
    <col min="5" max="5" width="6.7109375" style="499" customWidth="1"/>
    <col min="6" max="6" width="8.42578125" style="500" customWidth="1"/>
    <col min="7" max="7" width="10" style="501" customWidth="1"/>
    <col min="8" max="8" width="15.7109375" style="501" customWidth="1"/>
    <col min="9" max="9" width="17" style="328" customWidth="1"/>
    <col min="10" max="10" width="16.42578125" style="328" customWidth="1"/>
    <col min="11" max="11" width="11.5703125" style="328" customWidth="1"/>
    <col min="12" max="12" width="9.5703125" style="328" customWidth="1"/>
    <col min="13" max="125" width="9" style="328"/>
    <col min="126" max="256" width="9" style="502"/>
    <col min="257" max="257" width="4.140625" style="502" customWidth="1"/>
    <col min="258" max="258" width="4.28515625" style="502" customWidth="1"/>
    <col min="259" max="259" width="13.5703125" style="502" customWidth="1"/>
    <col min="260" max="260" width="65" style="502" customWidth="1"/>
    <col min="261" max="261" width="6.7109375" style="502" customWidth="1"/>
    <col min="262" max="262" width="8.42578125" style="502" customWidth="1"/>
    <col min="263" max="263" width="10" style="502" customWidth="1"/>
    <col min="264" max="264" width="15.7109375" style="502" customWidth="1"/>
    <col min="265" max="265" width="17" style="502" customWidth="1"/>
    <col min="266" max="266" width="14.7109375" style="502" customWidth="1"/>
    <col min="267" max="267" width="11.5703125" style="502" customWidth="1"/>
    <col min="268" max="512" width="9" style="502"/>
    <col min="513" max="513" width="4.140625" style="502" customWidth="1"/>
    <col min="514" max="514" width="4.28515625" style="502" customWidth="1"/>
    <col min="515" max="515" width="13.5703125" style="502" customWidth="1"/>
    <col min="516" max="516" width="65" style="502" customWidth="1"/>
    <col min="517" max="517" width="6.7109375" style="502" customWidth="1"/>
    <col min="518" max="518" width="8.42578125" style="502" customWidth="1"/>
    <col min="519" max="519" width="10" style="502" customWidth="1"/>
    <col min="520" max="520" width="15.7109375" style="502" customWidth="1"/>
    <col min="521" max="521" width="17" style="502" customWidth="1"/>
    <col min="522" max="522" width="14.7109375" style="502" customWidth="1"/>
    <col min="523" max="523" width="11.5703125" style="502" customWidth="1"/>
    <col min="524" max="768" width="9" style="502"/>
    <col min="769" max="769" width="4.140625" style="502" customWidth="1"/>
    <col min="770" max="770" width="4.28515625" style="502" customWidth="1"/>
    <col min="771" max="771" width="13.5703125" style="502" customWidth="1"/>
    <col min="772" max="772" width="65" style="502" customWidth="1"/>
    <col min="773" max="773" width="6.7109375" style="502" customWidth="1"/>
    <col min="774" max="774" width="8.42578125" style="502" customWidth="1"/>
    <col min="775" max="775" width="10" style="502" customWidth="1"/>
    <col min="776" max="776" width="15.7109375" style="502" customWidth="1"/>
    <col min="777" max="777" width="17" style="502" customWidth="1"/>
    <col min="778" max="778" width="14.7109375" style="502" customWidth="1"/>
    <col min="779" max="779" width="11.5703125" style="502" customWidth="1"/>
    <col min="780" max="1024" width="9" style="502"/>
    <col min="1025" max="1025" width="4.140625" style="502" customWidth="1"/>
    <col min="1026" max="1026" width="4.28515625" style="502" customWidth="1"/>
    <col min="1027" max="1027" width="13.5703125" style="502" customWidth="1"/>
    <col min="1028" max="1028" width="65" style="502" customWidth="1"/>
    <col min="1029" max="1029" width="6.7109375" style="502" customWidth="1"/>
    <col min="1030" max="1030" width="8.42578125" style="502" customWidth="1"/>
    <col min="1031" max="1031" width="10" style="502" customWidth="1"/>
    <col min="1032" max="1032" width="15.7109375" style="502" customWidth="1"/>
    <col min="1033" max="1033" width="17" style="502" customWidth="1"/>
    <col min="1034" max="1034" width="14.7109375" style="502" customWidth="1"/>
    <col min="1035" max="1035" width="11.5703125" style="502" customWidth="1"/>
    <col min="1036" max="1280" width="9" style="502"/>
    <col min="1281" max="1281" width="4.140625" style="502" customWidth="1"/>
    <col min="1282" max="1282" width="4.28515625" style="502" customWidth="1"/>
    <col min="1283" max="1283" width="13.5703125" style="502" customWidth="1"/>
    <col min="1284" max="1284" width="65" style="502" customWidth="1"/>
    <col min="1285" max="1285" width="6.7109375" style="502" customWidth="1"/>
    <col min="1286" max="1286" width="8.42578125" style="502" customWidth="1"/>
    <col min="1287" max="1287" width="10" style="502" customWidth="1"/>
    <col min="1288" max="1288" width="15.7109375" style="502" customWidth="1"/>
    <col min="1289" max="1289" width="17" style="502" customWidth="1"/>
    <col min="1290" max="1290" width="14.7109375" style="502" customWidth="1"/>
    <col min="1291" max="1291" width="11.5703125" style="502" customWidth="1"/>
    <col min="1292" max="1536" width="9" style="502"/>
    <col min="1537" max="1537" width="4.140625" style="502" customWidth="1"/>
    <col min="1538" max="1538" width="4.28515625" style="502" customWidth="1"/>
    <col min="1539" max="1539" width="13.5703125" style="502" customWidth="1"/>
    <col min="1540" max="1540" width="65" style="502" customWidth="1"/>
    <col min="1541" max="1541" width="6.7109375" style="502" customWidth="1"/>
    <col min="1542" max="1542" width="8.42578125" style="502" customWidth="1"/>
    <col min="1543" max="1543" width="10" style="502" customWidth="1"/>
    <col min="1544" max="1544" width="15.7109375" style="502" customWidth="1"/>
    <col min="1545" max="1545" width="17" style="502" customWidth="1"/>
    <col min="1546" max="1546" width="14.7109375" style="502" customWidth="1"/>
    <col min="1547" max="1547" width="11.5703125" style="502" customWidth="1"/>
    <col min="1548" max="1792" width="9" style="502"/>
    <col min="1793" max="1793" width="4.140625" style="502" customWidth="1"/>
    <col min="1794" max="1794" width="4.28515625" style="502" customWidth="1"/>
    <col min="1795" max="1795" width="13.5703125" style="502" customWidth="1"/>
    <col min="1796" max="1796" width="65" style="502" customWidth="1"/>
    <col min="1797" max="1797" width="6.7109375" style="502" customWidth="1"/>
    <col min="1798" max="1798" width="8.42578125" style="502" customWidth="1"/>
    <col min="1799" max="1799" width="10" style="502" customWidth="1"/>
    <col min="1800" max="1800" width="15.7109375" style="502" customWidth="1"/>
    <col min="1801" max="1801" width="17" style="502" customWidth="1"/>
    <col min="1802" max="1802" width="14.7109375" style="502" customWidth="1"/>
    <col min="1803" max="1803" width="11.5703125" style="502" customWidth="1"/>
    <col min="1804" max="2048" width="9" style="502"/>
    <col min="2049" max="2049" width="4.140625" style="502" customWidth="1"/>
    <col min="2050" max="2050" width="4.28515625" style="502" customWidth="1"/>
    <col min="2051" max="2051" width="13.5703125" style="502" customWidth="1"/>
    <col min="2052" max="2052" width="65" style="502" customWidth="1"/>
    <col min="2053" max="2053" width="6.7109375" style="502" customWidth="1"/>
    <col min="2054" max="2054" width="8.42578125" style="502" customWidth="1"/>
    <col min="2055" max="2055" width="10" style="502" customWidth="1"/>
    <col min="2056" max="2056" width="15.7109375" style="502" customWidth="1"/>
    <col min="2057" max="2057" width="17" style="502" customWidth="1"/>
    <col min="2058" max="2058" width="14.7109375" style="502" customWidth="1"/>
    <col min="2059" max="2059" width="11.5703125" style="502" customWidth="1"/>
    <col min="2060" max="2304" width="9" style="502"/>
    <col min="2305" max="2305" width="4.140625" style="502" customWidth="1"/>
    <col min="2306" max="2306" width="4.28515625" style="502" customWidth="1"/>
    <col min="2307" max="2307" width="13.5703125" style="502" customWidth="1"/>
    <col min="2308" max="2308" width="65" style="502" customWidth="1"/>
    <col min="2309" max="2309" width="6.7109375" style="502" customWidth="1"/>
    <col min="2310" max="2310" width="8.42578125" style="502" customWidth="1"/>
    <col min="2311" max="2311" width="10" style="502" customWidth="1"/>
    <col min="2312" max="2312" width="15.7109375" style="502" customWidth="1"/>
    <col min="2313" max="2313" width="17" style="502" customWidth="1"/>
    <col min="2314" max="2314" width="14.7109375" style="502" customWidth="1"/>
    <col min="2315" max="2315" width="11.5703125" style="502" customWidth="1"/>
    <col min="2316" max="2560" width="9" style="502"/>
    <col min="2561" max="2561" width="4.140625" style="502" customWidth="1"/>
    <col min="2562" max="2562" width="4.28515625" style="502" customWidth="1"/>
    <col min="2563" max="2563" width="13.5703125" style="502" customWidth="1"/>
    <col min="2564" max="2564" width="65" style="502" customWidth="1"/>
    <col min="2565" max="2565" width="6.7109375" style="502" customWidth="1"/>
    <col min="2566" max="2566" width="8.42578125" style="502" customWidth="1"/>
    <col min="2567" max="2567" width="10" style="502" customWidth="1"/>
    <col min="2568" max="2568" width="15.7109375" style="502" customWidth="1"/>
    <col min="2569" max="2569" width="17" style="502" customWidth="1"/>
    <col min="2570" max="2570" width="14.7109375" style="502" customWidth="1"/>
    <col min="2571" max="2571" width="11.5703125" style="502" customWidth="1"/>
    <col min="2572" max="2816" width="9" style="502"/>
    <col min="2817" max="2817" width="4.140625" style="502" customWidth="1"/>
    <col min="2818" max="2818" width="4.28515625" style="502" customWidth="1"/>
    <col min="2819" max="2819" width="13.5703125" style="502" customWidth="1"/>
    <col min="2820" max="2820" width="65" style="502" customWidth="1"/>
    <col min="2821" max="2821" width="6.7109375" style="502" customWidth="1"/>
    <col min="2822" max="2822" width="8.42578125" style="502" customWidth="1"/>
    <col min="2823" max="2823" width="10" style="502" customWidth="1"/>
    <col min="2824" max="2824" width="15.7109375" style="502" customWidth="1"/>
    <col min="2825" max="2825" width="17" style="502" customWidth="1"/>
    <col min="2826" max="2826" width="14.7109375" style="502" customWidth="1"/>
    <col min="2827" max="2827" width="11.5703125" style="502" customWidth="1"/>
    <col min="2828" max="3072" width="9" style="502"/>
    <col min="3073" max="3073" width="4.140625" style="502" customWidth="1"/>
    <col min="3074" max="3074" width="4.28515625" style="502" customWidth="1"/>
    <col min="3075" max="3075" width="13.5703125" style="502" customWidth="1"/>
    <col min="3076" max="3076" width="65" style="502" customWidth="1"/>
    <col min="3077" max="3077" width="6.7109375" style="502" customWidth="1"/>
    <col min="3078" max="3078" width="8.42578125" style="502" customWidth="1"/>
    <col min="3079" max="3079" width="10" style="502" customWidth="1"/>
    <col min="3080" max="3080" width="15.7109375" style="502" customWidth="1"/>
    <col min="3081" max="3081" width="17" style="502" customWidth="1"/>
    <col min="3082" max="3082" width="14.7109375" style="502" customWidth="1"/>
    <col min="3083" max="3083" width="11.5703125" style="502" customWidth="1"/>
    <col min="3084" max="3328" width="9" style="502"/>
    <col min="3329" max="3329" width="4.140625" style="502" customWidth="1"/>
    <col min="3330" max="3330" width="4.28515625" style="502" customWidth="1"/>
    <col min="3331" max="3331" width="13.5703125" style="502" customWidth="1"/>
    <col min="3332" max="3332" width="65" style="502" customWidth="1"/>
    <col min="3333" max="3333" width="6.7109375" style="502" customWidth="1"/>
    <col min="3334" max="3334" width="8.42578125" style="502" customWidth="1"/>
    <col min="3335" max="3335" width="10" style="502" customWidth="1"/>
    <col min="3336" max="3336" width="15.7109375" style="502" customWidth="1"/>
    <col min="3337" max="3337" width="17" style="502" customWidth="1"/>
    <col min="3338" max="3338" width="14.7109375" style="502" customWidth="1"/>
    <col min="3339" max="3339" width="11.5703125" style="502" customWidth="1"/>
    <col min="3340" max="3584" width="9" style="502"/>
    <col min="3585" max="3585" width="4.140625" style="502" customWidth="1"/>
    <col min="3586" max="3586" width="4.28515625" style="502" customWidth="1"/>
    <col min="3587" max="3587" width="13.5703125" style="502" customWidth="1"/>
    <col min="3588" max="3588" width="65" style="502" customWidth="1"/>
    <col min="3589" max="3589" width="6.7109375" style="502" customWidth="1"/>
    <col min="3590" max="3590" width="8.42578125" style="502" customWidth="1"/>
    <col min="3591" max="3591" width="10" style="502" customWidth="1"/>
    <col min="3592" max="3592" width="15.7109375" style="502" customWidth="1"/>
    <col min="3593" max="3593" width="17" style="502" customWidth="1"/>
    <col min="3594" max="3594" width="14.7109375" style="502" customWidth="1"/>
    <col min="3595" max="3595" width="11.5703125" style="502" customWidth="1"/>
    <col min="3596" max="3840" width="9" style="502"/>
    <col min="3841" max="3841" width="4.140625" style="502" customWidth="1"/>
    <col min="3842" max="3842" width="4.28515625" style="502" customWidth="1"/>
    <col min="3843" max="3843" width="13.5703125" style="502" customWidth="1"/>
    <col min="3844" max="3844" width="65" style="502" customWidth="1"/>
    <col min="3845" max="3845" width="6.7109375" style="502" customWidth="1"/>
    <col min="3846" max="3846" width="8.42578125" style="502" customWidth="1"/>
    <col min="3847" max="3847" width="10" style="502" customWidth="1"/>
    <col min="3848" max="3848" width="15.7109375" style="502" customWidth="1"/>
    <col min="3849" max="3849" width="17" style="502" customWidth="1"/>
    <col min="3850" max="3850" width="14.7109375" style="502" customWidth="1"/>
    <col min="3851" max="3851" width="11.5703125" style="502" customWidth="1"/>
    <col min="3852" max="4096" width="9" style="502"/>
    <col min="4097" max="4097" width="4.140625" style="502" customWidth="1"/>
    <col min="4098" max="4098" width="4.28515625" style="502" customWidth="1"/>
    <col min="4099" max="4099" width="13.5703125" style="502" customWidth="1"/>
    <col min="4100" max="4100" width="65" style="502" customWidth="1"/>
    <col min="4101" max="4101" width="6.7109375" style="502" customWidth="1"/>
    <col min="4102" max="4102" width="8.42578125" style="502" customWidth="1"/>
    <col min="4103" max="4103" width="10" style="502" customWidth="1"/>
    <col min="4104" max="4104" width="15.7109375" style="502" customWidth="1"/>
    <col min="4105" max="4105" width="17" style="502" customWidth="1"/>
    <col min="4106" max="4106" width="14.7109375" style="502" customWidth="1"/>
    <col min="4107" max="4107" width="11.5703125" style="502" customWidth="1"/>
    <col min="4108" max="4352" width="9" style="502"/>
    <col min="4353" max="4353" width="4.140625" style="502" customWidth="1"/>
    <col min="4354" max="4354" width="4.28515625" style="502" customWidth="1"/>
    <col min="4355" max="4355" width="13.5703125" style="502" customWidth="1"/>
    <col min="4356" max="4356" width="65" style="502" customWidth="1"/>
    <col min="4357" max="4357" width="6.7109375" style="502" customWidth="1"/>
    <col min="4358" max="4358" width="8.42578125" style="502" customWidth="1"/>
    <col min="4359" max="4359" width="10" style="502" customWidth="1"/>
    <col min="4360" max="4360" width="15.7109375" style="502" customWidth="1"/>
    <col min="4361" max="4361" width="17" style="502" customWidth="1"/>
    <col min="4362" max="4362" width="14.7109375" style="502" customWidth="1"/>
    <col min="4363" max="4363" width="11.5703125" style="502" customWidth="1"/>
    <col min="4364" max="4608" width="9" style="502"/>
    <col min="4609" max="4609" width="4.140625" style="502" customWidth="1"/>
    <col min="4610" max="4610" width="4.28515625" style="502" customWidth="1"/>
    <col min="4611" max="4611" width="13.5703125" style="502" customWidth="1"/>
    <col min="4612" max="4612" width="65" style="502" customWidth="1"/>
    <col min="4613" max="4613" width="6.7109375" style="502" customWidth="1"/>
    <col min="4614" max="4614" width="8.42578125" style="502" customWidth="1"/>
    <col min="4615" max="4615" width="10" style="502" customWidth="1"/>
    <col min="4616" max="4616" width="15.7109375" style="502" customWidth="1"/>
    <col min="4617" max="4617" width="17" style="502" customWidth="1"/>
    <col min="4618" max="4618" width="14.7109375" style="502" customWidth="1"/>
    <col min="4619" max="4619" width="11.5703125" style="502" customWidth="1"/>
    <col min="4620" max="4864" width="9" style="502"/>
    <col min="4865" max="4865" width="4.140625" style="502" customWidth="1"/>
    <col min="4866" max="4866" width="4.28515625" style="502" customWidth="1"/>
    <col min="4867" max="4867" width="13.5703125" style="502" customWidth="1"/>
    <col min="4868" max="4868" width="65" style="502" customWidth="1"/>
    <col min="4869" max="4869" width="6.7109375" style="502" customWidth="1"/>
    <col min="4870" max="4870" width="8.42578125" style="502" customWidth="1"/>
    <col min="4871" max="4871" width="10" style="502" customWidth="1"/>
    <col min="4872" max="4872" width="15.7109375" style="502" customWidth="1"/>
    <col min="4873" max="4873" width="17" style="502" customWidth="1"/>
    <col min="4874" max="4874" width="14.7109375" style="502" customWidth="1"/>
    <col min="4875" max="4875" width="11.5703125" style="502" customWidth="1"/>
    <col min="4876" max="5120" width="9" style="502"/>
    <col min="5121" max="5121" width="4.140625" style="502" customWidth="1"/>
    <col min="5122" max="5122" width="4.28515625" style="502" customWidth="1"/>
    <col min="5123" max="5123" width="13.5703125" style="502" customWidth="1"/>
    <col min="5124" max="5124" width="65" style="502" customWidth="1"/>
    <col min="5125" max="5125" width="6.7109375" style="502" customWidth="1"/>
    <col min="5126" max="5126" width="8.42578125" style="502" customWidth="1"/>
    <col min="5127" max="5127" width="10" style="502" customWidth="1"/>
    <col min="5128" max="5128" width="15.7109375" style="502" customWidth="1"/>
    <col min="5129" max="5129" width="17" style="502" customWidth="1"/>
    <col min="5130" max="5130" width="14.7109375" style="502" customWidth="1"/>
    <col min="5131" max="5131" width="11.5703125" style="502" customWidth="1"/>
    <col min="5132" max="5376" width="9" style="502"/>
    <col min="5377" max="5377" width="4.140625" style="502" customWidth="1"/>
    <col min="5378" max="5378" width="4.28515625" style="502" customWidth="1"/>
    <col min="5379" max="5379" width="13.5703125" style="502" customWidth="1"/>
    <col min="5380" max="5380" width="65" style="502" customWidth="1"/>
    <col min="5381" max="5381" width="6.7109375" style="502" customWidth="1"/>
    <col min="5382" max="5382" width="8.42578125" style="502" customWidth="1"/>
    <col min="5383" max="5383" width="10" style="502" customWidth="1"/>
    <col min="5384" max="5384" width="15.7109375" style="502" customWidth="1"/>
    <col min="5385" max="5385" width="17" style="502" customWidth="1"/>
    <col min="5386" max="5386" width="14.7109375" style="502" customWidth="1"/>
    <col min="5387" max="5387" width="11.5703125" style="502" customWidth="1"/>
    <col min="5388" max="5632" width="9" style="502"/>
    <col min="5633" max="5633" width="4.140625" style="502" customWidth="1"/>
    <col min="5634" max="5634" width="4.28515625" style="502" customWidth="1"/>
    <col min="5635" max="5635" width="13.5703125" style="502" customWidth="1"/>
    <col min="5636" max="5636" width="65" style="502" customWidth="1"/>
    <col min="5637" max="5637" width="6.7109375" style="502" customWidth="1"/>
    <col min="5638" max="5638" width="8.42578125" style="502" customWidth="1"/>
    <col min="5639" max="5639" width="10" style="502" customWidth="1"/>
    <col min="5640" max="5640" width="15.7109375" style="502" customWidth="1"/>
    <col min="5641" max="5641" width="17" style="502" customWidth="1"/>
    <col min="5642" max="5642" width="14.7109375" style="502" customWidth="1"/>
    <col min="5643" max="5643" width="11.5703125" style="502" customWidth="1"/>
    <col min="5644" max="5888" width="9" style="502"/>
    <col min="5889" max="5889" width="4.140625" style="502" customWidth="1"/>
    <col min="5890" max="5890" width="4.28515625" style="502" customWidth="1"/>
    <col min="5891" max="5891" width="13.5703125" style="502" customWidth="1"/>
    <col min="5892" max="5892" width="65" style="502" customWidth="1"/>
    <col min="5893" max="5893" width="6.7109375" style="502" customWidth="1"/>
    <col min="5894" max="5894" width="8.42578125" style="502" customWidth="1"/>
    <col min="5895" max="5895" width="10" style="502" customWidth="1"/>
    <col min="5896" max="5896" width="15.7109375" style="502" customWidth="1"/>
    <col min="5897" max="5897" width="17" style="502" customWidth="1"/>
    <col min="5898" max="5898" width="14.7109375" style="502" customWidth="1"/>
    <col min="5899" max="5899" width="11.5703125" style="502" customWidth="1"/>
    <col min="5900" max="6144" width="9" style="502"/>
    <col min="6145" max="6145" width="4.140625" style="502" customWidth="1"/>
    <col min="6146" max="6146" width="4.28515625" style="502" customWidth="1"/>
    <col min="6147" max="6147" width="13.5703125" style="502" customWidth="1"/>
    <col min="6148" max="6148" width="65" style="502" customWidth="1"/>
    <col min="6149" max="6149" width="6.7109375" style="502" customWidth="1"/>
    <col min="6150" max="6150" width="8.42578125" style="502" customWidth="1"/>
    <col min="6151" max="6151" width="10" style="502" customWidth="1"/>
    <col min="6152" max="6152" width="15.7109375" style="502" customWidth="1"/>
    <col min="6153" max="6153" width="17" style="502" customWidth="1"/>
    <col min="6154" max="6154" width="14.7109375" style="502" customWidth="1"/>
    <col min="6155" max="6155" width="11.5703125" style="502" customWidth="1"/>
    <col min="6156" max="6400" width="9" style="502"/>
    <col min="6401" max="6401" width="4.140625" style="502" customWidth="1"/>
    <col min="6402" max="6402" width="4.28515625" style="502" customWidth="1"/>
    <col min="6403" max="6403" width="13.5703125" style="502" customWidth="1"/>
    <col min="6404" max="6404" width="65" style="502" customWidth="1"/>
    <col min="6405" max="6405" width="6.7109375" style="502" customWidth="1"/>
    <col min="6406" max="6406" width="8.42578125" style="502" customWidth="1"/>
    <col min="6407" max="6407" width="10" style="502" customWidth="1"/>
    <col min="6408" max="6408" width="15.7109375" style="502" customWidth="1"/>
    <col min="6409" max="6409" width="17" style="502" customWidth="1"/>
    <col min="6410" max="6410" width="14.7109375" style="502" customWidth="1"/>
    <col min="6411" max="6411" width="11.5703125" style="502" customWidth="1"/>
    <col min="6412" max="6656" width="9" style="502"/>
    <col min="6657" max="6657" width="4.140625" style="502" customWidth="1"/>
    <col min="6658" max="6658" width="4.28515625" style="502" customWidth="1"/>
    <col min="6659" max="6659" width="13.5703125" style="502" customWidth="1"/>
    <col min="6660" max="6660" width="65" style="502" customWidth="1"/>
    <col min="6661" max="6661" width="6.7109375" style="502" customWidth="1"/>
    <col min="6662" max="6662" width="8.42578125" style="502" customWidth="1"/>
    <col min="6663" max="6663" width="10" style="502" customWidth="1"/>
    <col min="6664" max="6664" width="15.7109375" style="502" customWidth="1"/>
    <col min="6665" max="6665" width="17" style="502" customWidth="1"/>
    <col min="6666" max="6666" width="14.7109375" style="502" customWidth="1"/>
    <col min="6667" max="6667" width="11.5703125" style="502" customWidth="1"/>
    <col min="6668" max="6912" width="9" style="502"/>
    <col min="6913" max="6913" width="4.140625" style="502" customWidth="1"/>
    <col min="6914" max="6914" width="4.28515625" style="502" customWidth="1"/>
    <col min="6915" max="6915" width="13.5703125" style="502" customWidth="1"/>
    <col min="6916" max="6916" width="65" style="502" customWidth="1"/>
    <col min="6917" max="6917" width="6.7109375" style="502" customWidth="1"/>
    <col min="6918" max="6918" width="8.42578125" style="502" customWidth="1"/>
    <col min="6919" max="6919" width="10" style="502" customWidth="1"/>
    <col min="6920" max="6920" width="15.7109375" style="502" customWidth="1"/>
    <col min="6921" max="6921" width="17" style="502" customWidth="1"/>
    <col min="6922" max="6922" width="14.7109375" style="502" customWidth="1"/>
    <col min="6923" max="6923" width="11.5703125" style="502" customWidth="1"/>
    <col min="6924" max="7168" width="9" style="502"/>
    <col min="7169" max="7169" width="4.140625" style="502" customWidth="1"/>
    <col min="7170" max="7170" width="4.28515625" style="502" customWidth="1"/>
    <col min="7171" max="7171" width="13.5703125" style="502" customWidth="1"/>
    <col min="7172" max="7172" width="65" style="502" customWidth="1"/>
    <col min="7173" max="7173" width="6.7109375" style="502" customWidth="1"/>
    <col min="7174" max="7174" width="8.42578125" style="502" customWidth="1"/>
    <col min="7175" max="7175" width="10" style="502" customWidth="1"/>
    <col min="7176" max="7176" width="15.7109375" style="502" customWidth="1"/>
    <col min="7177" max="7177" width="17" style="502" customWidth="1"/>
    <col min="7178" max="7178" width="14.7109375" style="502" customWidth="1"/>
    <col min="7179" max="7179" width="11.5703125" style="502" customWidth="1"/>
    <col min="7180" max="7424" width="9" style="502"/>
    <col min="7425" max="7425" width="4.140625" style="502" customWidth="1"/>
    <col min="7426" max="7426" width="4.28515625" style="502" customWidth="1"/>
    <col min="7427" max="7427" width="13.5703125" style="502" customWidth="1"/>
    <col min="7428" max="7428" width="65" style="502" customWidth="1"/>
    <col min="7429" max="7429" width="6.7109375" style="502" customWidth="1"/>
    <col min="7430" max="7430" width="8.42578125" style="502" customWidth="1"/>
    <col min="7431" max="7431" width="10" style="502" customWidth="1"/>
    <col min="7432" max="7432" width="15.7109375" style="502" customWidth="1"/>
    <col min="7433" max="7433" width="17" style="502" customWidth="1"/>
    <col min="7434" max="7434" width="14.7109375" style="502" customWidth="1"/>
    <col min="7435" max="7435" width="11.5703125" style="502" customWidth="1"/>
    <col min="7436" max="7680" width="9" style="502"/>
    <col min="7681" max="7681" width="4.140625" style="502" customWidth="1"/>
    <col min="7682" max="7682" width="4.28515625" style="502" customWidth="1"/>
    <col min="7683" max="7683" width="13.5703125" style="502" customWidth="1"/>
    <col min="7684" max="7684" width="65" style="502" customWidth="1"/>
    <col min="7685" max="7685" width="6.7109375" style="502" customWidth="1"/>
    <col min="7686" max="7686" width="8.42578125" style="502" customWidth="1"/>
    <col min="7687" max="7687" width="10" style="502" customWidth="1"/>
    <col min="7688" max="7688" width="15.7109375" style="502" customWidth="1"/>
    <col min="7689" max="7689" width="17" style="502" customWidth="1"/>
    <col min="7690" max="7690" width="14.7109375" style="502" customWidth="1"/>
    <col min="7691" max="7691" width="11.5703125" style="502" customWidth="1"/>
    <col min="7692" max="7936" width="9" style="502"/>
    <col min="7937" max="7937" width="4.140625" style="502" customWidth="1"/>
    <col min="7938" max="7938" width="4.28515625" style="502" customWidth="1"/>
    <col min="7939" max="7939" width="13.5703125" style="502" customWidth="1"/>
    <col min="7940" max="7940" width="65" style="502" customWidth="1"/>
    <col min="7941" max="7941" width="6.7109375" style="502" customWidth="1"/>
    <col min="7942" max="7942" width="8.42578125" style="502" customWidth="1"/>
    <col min="7943" max="7943" width="10" style="502" customWidth="1"/>
    <col min="7944" max="7944" width="15.7109375" style="502" customWidth="1"/>
    <col min="7945" max="7945" width="17" style="502" customWidth="1"/>
    <col min="7946" max="7946" width="14.7109375" style="502" customWidth="1"/>
    <col min="7947" max="7947" width="11.5703125" style="502" customWidth="1"/>
    <col min="7948" max="8192" width="9" style="502"/>
    <col min="8193" max="8193" width="4.140625" style="502" customWidth="1"/>
    <col min="8194" max="8194" width="4.28515625" style="502" customWidth="1"/>
    <col min="8195" max="8195" width="13.5703125" style="502" customWidth="1"/>
    <col min="8196" max="8196" width="65" style="502" customWidth="1"/>
    <col min="8197" max="8197" width="6.7109375" style="502" customWidth="1"/>
    <col min="8198" max="8198" width="8.42578125" style="502" customWidth="1"/>
    <col min="8199" max="8199" width="10" style="502" customWidth="1"/>
    <col min="8200" max="8200" width="15.7109375" style="502" customWidth="1"/>
    <col min="8201" max="8201" width="17" style="502" customWidth="1"/>
    <col min="8202" max="8202" width="14.7109375" style="502" customWidth="1"/>
    <col min="8203" max="8203" width="11.5703125" style="502" customWidth="1"/>
    <col min="8204" max="8448" width="9" style="502"/>
    <col min="8449" max="8449" width="4.140625" style="502" customWidth="1"/>
    <col min="8450" max="8450" width="4.28515625" style="502" customWidth="1"/>
    <col min="8451" max="8451" width="13.5703125" style="502" customWidth="1"/>
    <col min="8452" max="8452" width="65" style="502" customWidth="1"/>
    <col min="8453" max="8453" width="6.7109375" style="502" customWidth="1"/>
    <col min="8454" max="8454" width="8.42578125" style="502" customWidth="1"/>
    <col min="8455" max="8455" width="10" style="502" customWidth="1"/>
    <col min="8456" max="8456" width="15.7109375" style="502" customWidth="1"/>
    <col min="8457" max="8457" width="17" style="502" customWidth="1"/>
    <col min="8458" max="8458" width="14.7109375" style="502" customWidth="1"/>
    <col min="8459" max="8459" width="11.5703125" style="502" customWidth="1"/>
    <col min="8460" max="8704" width="9" style="502"/>
    <col min="8705" max="8705" width="4.140625" style="502" customWidth="1"/>
    <col min="8706" max="8706" width="4.28515625" style="502" customWidth="1"/>
    <col min="8707" max="8707" width="13.5703125" style="502" customWidth="1"/>
    <col min="8708" max="8708" width="65" style="502" customWidth="1"/>
    <col min="8709" max="8709" width="6.7109375" style="502" customWidth="1"/>
    <col min="8710" max="8710" width="8.42578125" style="502" customWidth="1"/>
    <col min="8711" max="8711" width="10" style="502" customWidth="1"/>
    <col min="8712" max="8712" width="15.7109375" style="502" customWidth="1"/>
    <col min="8713" max="8713" width="17" style="502" customWidth="1"/>
    <col min="8714" max="8714" width="14.7109375" style="502" customWidth="1"/>
    <col min="8715" max="8715" width="11.5703125" style="502" customWidth="1"/>
    <col min="8716" max="8960" width="9" style="502"/>
    <col min="8961" max="8961" width="4.140625" style="502" customWidth="1"/>
    <col min="8962" max="8962" width="4.28515625" style="502" customWidth="1"/>
    <col min="8963" max="8963" width="13.5703125" style="502" customWidth="1"/>
    <col min="8964" max="8964" width="65" style="502" customWidth="1"/>
    <col min="8965" max="8965" width="6.7109375" style="502" customWidth="1"/>
    <col min="8966" max="8966" width="8.42578125" style="502" customWidth="1"/>
    <col min="8967" max="8967" width="10" style="502" customWidth="1"/>
    <col min="8968" max="8968" width="15.7109375" style="502" customWidth="1"/>
    <col min="8969" max="8969" width="17" style="502" customWidth="1"/>
    <col min="8970" max="8970" width="14.7109375" style="502" customWidth="1"/>
    <col min="8971" max="8971" width="11.5703125" style="502" customWidth="1"/>
    <col min="8972" max="9216" width="9" style="502"/>
    <col min="9217" max="9217" width="4.140625" style="502" customWidth="1"/>
    <col min="9218" max="9218" width="4.28515625" style="502" customWidth="1"/>
    <col min="9219" max="9219" width="13.5703125" style="502" customWidth="1"/>
    <col min="9220" max="9220" width="65" style="502" customWidth="1"/>
    <col min="9221" max="9221" width="6.7109375" style="502" customWidth="1"/>
    <col min="9222" max="9222" width="8.42578125" style="502" customWidth="1"/>
    <col min="9223" max="9223" width="10" style="502" customWidth="1"/>
    <col min="9224" max="9224" width="15.7109375" style="502" customWidth="1"/>
    <col min="9225" max="9225" width="17" style="502" customWidth="1"/>
    <col min="9226" max="9226" width="14.7109375" style="502" customWidth="1"/>
    <col min="9227" max="9227" width="11.5703125" style="502" customWidth="1"/>
    <col min="9228" max="9472" width="9" style="502"/>
    <col min="9473" max="9473" width="4.140625" style="502" customWidth="1"/>
    <col min="9474" max="9474" width="4.28515625" style="502" customWidth="1"/>
    <col min="9475" max="9475" width="13.5703125" style="502" customWidth="1"/>
    <col min="9476" max="9476" width="65" style="502" customWidth="1"/>
    <col min="9477" max="9477" width="6.7109375" style="502" customWidth="1"/>
    <col min="9478" max="9478" width="8.42578125" style="502" customWidth="1"/>
    <col min="9479" max="9479" width="10" style="502" customWidth="1"/>
    <col min="9480" max="9480" width="15.7109375" style="502" customWidth="1"/>
    <col min="9481" max="9481" width="17" style="502" customWidth="1"/>
    <col min="9482" max="9482" width="14.7109375" style="502" customWidth="1"/>
    <col min="9483" max="9483" width="11.5703125" style="502" customWidth="1"/>
    <col min="9484" max="9728" width="9" style="502"/>
    <col min="9729" max="9729" width="4.140625" style="502" customWidth="1"/>
    <col min="9730" max="9730" width="4.28515625" style="502" customWidth="1"/>
    <col min="9731" max="9731" width="13.5703125" style="502" customWidth="1"/>
    <col min="9732" max="9732" width="65" style="502" customWidth="1"/>
    <col min="9733" max="9733" width="6.7109375" style="502" customWidth="1"/>
    <col min="9734" max="9734" width="8.42578125" style="502" customWidth="1"/>
    <col min="9735" max="9735" width="10" style="502" customWidth="1"/>
    <col min="9736" max="9736" width="15.7109375" style="502" customWidth="1"/>
    <col min="9737" max="9737" width="17" style="502" customWidth="1"/>
    <col min="9738" max="9738" width="14.7109375" style="502" customWidth="1"/>
    <col min="9739" max="9739" width="11.5703125" style="502" customWidth="1"/>
    <col min="9740" max="9984" width="9" style="502"/>
    <col min="9985" max="9985" width="4.140625" style="502" customWidth="1"/>
    <col min="9986" max="9986" width="4.28515625" style="502" customWidth="1"/>
    <col min="9987" max="9987" width="13.5703125" style="502" customWidth="1"/>
    <col min="9988" max="9988" width="65" style="502" customWidth="1"/>
    <col min="9989" max="9989" width="6.7109375" style="502" customWidth="1"/>
    <col min="9990" max="9990" width="8.42578125" style="502" customWidth="1"/>
    <col min="9991" max="9991" width="10" style="502" customWidth="1"/>
    <col min="9992" max="9992" width="15.7109375" style="502" customWidth="1"/>
    <col min="9993" max="9993" width="17" style="502" customWidth="1"/>
    <col min="9994" max="9994" width="14.7109375" style="502" customWidth="1"/>
    <col min="9995" max="9995" width="11.5703125" style="502" customWidth="1"/>
    <col min="9996" max="10240" width="9" style="502"/>
    <col min="10241" max="10241" width="4.140625" style="502" customWidth="1"/>
    <col min="10242" max="10242" width="4.28515625" style="502" customWidth="1"/>
    <col min="10243" max="10243" width="13.5703125" style="502" customWidth="1"/>
    <col min="10244" max="10244" width="65" style="502" customWidth="1"/>
    <col min="10245" max="10245" width="6.7109375" style="502" customWidth="1"/>
    <col min="10246" max="10246" width="8.42578125" style="502" customWidth="1"/>
    <col min="10247" max="10247" width="10" style="502" customWidth="1"/>
    <col min="10248" max="10248" width="15.7109375" style="502" customWidth="1"/>
    <col min="10249" max="10249" width="17" style="502" customWidth="1"/>
    <col min="10250" max="10250" width="14.7109375" style="502" customWidth="1"/>
    <col min="10251" max="10251" width="11.5703125" style="502" customWidth="1"/>
    <col min="10252" max="10496" width="9" style="502"/>
    <col min="10497" max="10497" width="4.140625" style="502" customWidth="1"/>
    <col min="10498" max="10498" width="4.28515625" style="502" customWidth="1"/>
    <col min="10499" max="10499" width="13.5703125" style="502" customWidth="1"/>
    <col min="10500" max="10500" width="65" style="502" customWidth="1"/>
    <col min="10501" max="10501" width="6.7109375" style="502" customWidth="1"/>
    <col min="10502" max="10502" width="8.42578125" style="502" customWidth="1"/>
    <col min="10503" max="10503" width="10" style="502" customWidth="1"/>
    <col min="10504" max="10504" width="15.7109375" style="502" customWidth="1"/>
    <col min="10505" max="10505" width="17" style="502" customWidth="1"/>
    <col min="10506" max="10506" width="14.7109375" style="502" customWidth="1"/>
    <col min="10507" max="10507" width="11.5703125" style="502" customWidth="1"/>
    <col min="10508" max="10752" width="9" style="502"/>
    <col min="10753" max="10753" width="4.140625" style="502" customWidth="1"/>
    <col min="10754" max="10754" width="4.28515625" style="502" customWidth="1"/>
    <col min="10755" max="10755" width="13.5703125" style="502" customWidth="1"/>
    <col min="10756" max="10756" width="65" style="502" customWidth="1"/>
    <col min="10757" max="10757" width="6.7109375" style="502" customWidth="1"/>
    <col min="10758" max="10758" width="8.42578125" style="502" customWidth="1"/>
    <col min="10759" max="10759" width="10" style="502" customWidth="1"/>
    <col min="10760" max="10760" width="15.7109375" style="502" customWidth="1"/>
    <col min="10761" max="10761" width="17" style="502" customWidth="1"/>
    <col min="10762" max="10762" width="14.7109375" style="502" customWidth="1"/>
    <col min="10763" max="10763" width="11.5703125" style="502" customWidth="1"/>
    <col min="10764" max="11008" width="9" style="502"/>
    <col min="11009" max="11009" width="4.140625" style="502" customWidth="1"/>
    <col min="11010" max="11010" width="4.28515625" style="502" customWidth="1"/>
    <col min="11011" max="11011" width="13.5703125" style="502" customWidth="1"/>
    <col min="11012" max="11012" width="65" style="502" customWidth="1"/>
    <col min="11013" max="11013" width="6.7109375" style="502" customWidth="1"/>
    <col min="11014" max="11014" width="8.42578125" style="502" customWidth="1"/>
    <col min="11015" max="11015" width="10" style="502" customWidth="1"/>
    <col min="11016" max="11016" width="15.7109375" style="502" customWidth="1"/>
    <col min="11017" max="11017" width="17" style="502" customWidth="1"/>
    <col min="11018" max="11018" width="14.7109375" style="502" customWidth="1"/>
    <col min="11019" max="11019" width="11.5703125" style="502" customWidth="1"/>
    <col min="11020" max="11264" width="9" style="502"/>
    <col min="11265" max="11265" width="4.140625" style="502" customWidth="1"/>
    <col min="11266" max="11266" width="4.28515625" style="502" customWidth="1"/>
    <col min="11267" max="11267" width="13.5703125" style="502" customWidth="1"/>
    <col min="11268" max="11268" width="65" style="502" customWidth="1"/>
    <col min="11269" max="11269" width="6.7109375" style="502" customWidth="1"/>
    <col min="11270" max="11270" width="8.42578125" style="502" customWidth="1"/>
    <col min="11271" max="11271" width="10" style="502" customWidth="1"/>
    <col min="11272" max="11272" width="15.7109375" style="502" customWidth="1"/>
    <col min="11273" max="11273" width="17" style="502" customWidth="1"/>
    <col min="11274" max="11274" width="14.7109375" style="502" customWidth="1"/>
    <col min="11275" max="11275" width="11.5703125" style="502" customWidth="1"/>
    <col min="11276" max="11520" width="9" style="502"/>
    <col min="11521" max="11521" width="4.140625" style="502" customWidth="1"/>
    <col min="11522" max="11522" width="4.28515625" style="502" customWidth="1"/>
    <col min="11523" max="11523" width="13.5703125" style="502" customWidth="1"/>
    <col min="11524" max="11524" width="65" style="502" customWidth="1"/>
    <col min="11525" max="11525" width="6.7109375" style="502" customWidth="1"/>
    <col min="11526" max="11526" width="8.42578125" style="502" customWidth="1"/>
    <col min="11527" max="11527" width="10" style="502" customWidth="1"/>
    <col min="11528" max="11528" width="15.7109375" style="502" customWidth="1"/>
    <col min="11529" max="11529" width="17" style="502" customWidth="1"/>
    <col min="11530" max="11530" width="14.7109375" style="502" customWidth="1"/>
    <col min="11531" max="11531" width="11.5703125" style="502" customWidth="1"/>
    <col min="11532" max="11776" width="9" style="502"/>
    <col min="11777" max="11777" width="4.140625" style="502" customWidth="1"/>
    <col min="11778" max="11778" width="4.28515625" style="502" customWidth="1"/>
    <col min="11779" max="11779" width="13.5703125" style="502" customWidth="1"/>
    <col min="11780" max="11780" width="65" style="502" customWidth="1"/>
    <col min="11781" max="11781" width="6.7109375" style="502" customWidth="1"/>
    <col min="11782" max="11782" width="8.42578125" style="502" customWidth="1"/>
    <col min="11783" max="11783" width="10" style="502" customWidth="1"/>
    <col min="11784" max="11784" width="15.7109375" style="502" customWidth="1"/>
    <col min="11785" max="11785" width="17" style="502" customWidth="1"/>
    <col min="11786" max="11786" width="14.7109375" style="502" customWidth="1"/>
    <col min="11787" max="11787" width="11.5703125" style="502" customWidth="1"/>
    <col min="11788" max="12032" width="9" style="502"/>
    <col min="12033" max="12033" width="4.140625" style="502" customWidth="1"/>
    <col min="12034" max="12034" width="4.28515625" style="502" customWidth="1"/>
    <col min="12035" max="12035" width="13.5703125" style="502" customWidth="1"/>
    <col min="12036" max="12036" width="65" style="502" customWidth="1"/>
    <col min="12037" max="12037" width="6.7109375" style="502" customWidth="1"/>
    <col min="12038" max="12038" width="8.42578125" style="502" customWidth="1"/>
    <col min="12039" max="12039" width="10" style="502" customWidth="1"/>
    <col min="12040" max="12040" width="15.7109375" style="502" customWidth="1"/>
    <col min="12041" max="12041" width="17" style="502" customWidth="1"/>
    <col min="12042" max="12042" width="14.7109375" style="502" customWidth="1"/>
    <col min="12043" max="12043" width="11.5703125" style="502" customWidth="1"/>
    <col min="12044" max="12288" width="9" style="502"/>
    <col min="12289" max="12289" width="4.140625" style="502" customWidth="1"/>
    <col min="12290" max="12290" width="4.28515625" style="502" customWidth="1"/>
    <col min="12291" max="12291" width="13.5703125" style="502" customWidth="1"/>
    <col min="12292" max="12292" width="65" style="502" customWidth="1"/>
    <col min="12293" max="12293" width="6.7109375" style="502" customWidth="1"/>
    <col min="12294" max="12294" width="8.42578125" style="502" customWidth="1"/>
    <col min="12295" max="12295" width="10" style="502" customWidth="1"/>
    <col min="12296" max="12296" width="15.7109375" style="502" customWidth="1"/>
    <col min="12297" max="12297" width="17" style="502" customWidth="1"/>
    <col min="12298" max="12298" width="14.7109375" style="502" customWidth="1"/>
    <col min="12299" max="12299" width="11.5703125" style="502" customWidth="1"/>
    <col min="12300" max="12544" width="9" style="502"/>
    <col min="12545" max="12545" width="4.140625" style="502" customWidth="1"/>
    <col min="12546" max="12546" width="4.28515625" style="502" customWidth="1"/>
    <col min="12547" max="12547" width="13.5703125" style="502" customWidth="1"/>
    <col min="12548" max="12548" width="65" style="502" customWidth="1"/>
    <col min="12549" max="12549" width="6.7109375" style="502" customWidth="1"/>
    <col min="12550" max="12550" width="8.42578125" style="502" customWidth="1"/>
    <col min="12551" max="12551" width="10" style="502" customWidth="1"/>
    <col min="12552" max="12552" width="15.7109375" style="502" customWidth="1"/>
    <col min="12553" max="12553" width="17" style="502" customWidth="1"/>
    <col min="12554" max="12554" width="14.7109375" style="502" customWidth="1"/>
    <col min="12555" max="12555" width="11.5703125" style="502" customWidth="1"/>
    <col min="12556" max="12800" width="9" style="502"/>
    <col min="12801" max="12801" width="4.140625" style="502" customWidth="1"/>
    <col min="12802" max="12802" width="4.28515625" style="502" customWidth="1"/>
    <col min="12803" max="12803" width="13.5703125" style="502" customWidth="1"/>
    <col min="12804" max="12804" width="65" style="502" customWidth="1"/>
    <col min="12805" max="12805" width="6.7109375" style="502" customWidth="1"/>
    <col min="12806" max="12806" width="8.42578125" style="502" customWidth="1"/>
    <col min="12807" max="12807" width="10" style="502" customWidth="1"/>
    <col min="12808" max="12808" width="15.7109375" style="502" customWidth="1"/>
    <col min="12809" max="12809" width="17" style="502" customWidth="1"/>
    <col min="12810" max="12810" width="14.7109375" style="502" customWidth="1"/>
    <col min="12811" max="12811" width="11.5703125" style="502" customWidth="1"/>
    <col min="12812" max="13056" width="9" style="502"/>
    <col min="13057" max="13057" width="4.140625" style="502" customWidth="1"/>
    <col min="13058" max="13058" width="4.28515625" style="502" customWidth="1"/>
    <col min="13059" max="13059" width="13.5703125" style="502" customWidth="1"/>
    <col min="13060" max="13060" width="65" style="502" customWidth="1"/>
    <col min="13061" max="13061" width="6.7109375" style="502" customWidth="1"/>
    <col min="13062" max="13062" width="8.42578125" style="502" customWidth="1"/>
    <col min="13063" max="13063" width="10" style="502" customWidth="1"/>
    <col min="13064" max="13064" width="15.7109375" style="502" customWidth="1"/>
    <col min="13065" max="13065" width="17" style="502" customWidth="1"/>
    <col min="13066" max="13066" width="14.7109375" style="502" customWidth="1"/>
    <col min="13067" max="13067" width="11.5703125" style="502" customWidth="1"/>
    <col min="13068" max="13312" width="9" style="502"/>
    <col min="13313" max="13313" width="4.140625" style="502" customWidth="1"/>
    <col min="13314" max="13314" width="4.28515625" style="502" customWidth="1"/>
    <col min="13315" max="13315" width="13.5703125" style="502" customWidth="1"/>
    <col min="13316" max="13316" width="65" style="502" customWidth="1"/>
    <col min="13317" max="13317" width="6.7109375" style="502" customWidth="1"/>
    <col min="13318" max="13318" width="8.42578125" style="502" customWidth="1"/>
    <col min="13319" max="13319" width="10" style="502" customWidth="1"/>
    <col min="13320" max="13320" width="15.7109375" style="502" customWidth="1"/>
    <col min="13321" max="13321" width="17" style="502" customWidth="1"/>
    <col min="13322" max="13322" width="14.7109375" style="502" customWidth="1"/>
    <col min="13323" max="13323" width="11.5703125" style="502" customWidth="1"/>
    <col min="13324" max="13568" width="9" style="502"/>
    <col min="13569" max="13569" width="4.140625" style="502" customWidth="1"/>
    <col min="13570" max="13570" width="4.28515625" style="502" customWidth="1"/>
    <col min="13571" max="13571" width="13.5703125" style="502" customWidth="1"/>
    <col min="13572" max="13572" width="65" style="502" customWidth="1"/>
    <col min="13573" max="13573" width="6.7109375" style="502" customWidth="1"/>
    <col min="13574" max="13574" width="8.42578125" style="502" customWidth="1"/>
    <col min="13575" max="13575" width="10" style="502" customWidth="1"/>
    <col min="13576" max="13576" width="15.7109375" style="502" customWidth="1"/>
    <col min="13577" max="13577" width="17" style="502" customWidth="1"/>
    <col min="13578" max="13578" width="14.7109375" style="502" customWidth="1"/>
    <col min="13579" max="13579" width="11.5703125" style="502" customWidth="1"/>
    <col min="13580" max="13824" width="9" style="502"/>
    <col min="13825" max="13825" width="4.140625" style="502" customWidth="1"/>
    <col min="13826" max="13826" width="4.28515625" style="502" customWidth="1"/>
    <col min="13827" max="13827" width="13.5703125" style="502" customWidth="1"/>
    <col min="13828" max="13828" width="65" style="502" customWidth="1"/>
    <col min="13829" max="13829" width="6.7109375" style="502" customWidth="1"/>
    <col min="13830" max="13830" width="8.42578125" style="502" customWidth="1"/>
    <col min="13831" max="13831" width="10" style="502" customWidth="1"/>
    <col min="13832" max="13832" width="15.7109375" style="502" customWidth="1"/>
    <col min="13833" max="13833" width="17" style="502" customWidth="1"/>
    <col min="13834" max="13834" width="14.7109375" style="502" customWidth="1"/>
    <col min="13835" max="13835" width="11.5703125" style="502" customWidth="1"/>
    <col min="13836" max="14080" width="9" style="502"/>
    <col min="14081" max="14081" width="4.140625" style="502" customWidth="1"/>
    <col min="14082" max="14082" width="4.28515625" style="502" customWidth="1"/>
    <col min="14083" max="14083" width="13.5703125" style="502" customWidth="1"/>
    <col min="14084" max="14084" width="65" style="502" customWidth="1"/>
    <col min="14085" max="14085" width="6.7109375" style="502" customWidth="1"/>
    <col min="14086" max="14086" width="8.42578125" style="502" customWidth="1"/>
    <col min="14087" max="14087" width="10" style="502" customWidth="1"/>
    <col min="14088" max="14088" width="15.7109375" style="502" customWidth="1"/>
    <col min="14089" max="14089" width="17" style="502" customWidth="1"/>
    <col min="14090" max="14090" width="14.7109375" style="502" customWidth="1"/>
    <col min="14091" max="14091" width="11.5703125" style="502" customWidth="1"/>
    <col min="14092" max="14336" width="9" style="502"/>
    <col min="14337" max="14337" width="4.140625" style="502" customWidth="1"/>
    <col min="14338" max="14338" width="4.28515625" style="502" customWidth="1"/>
    <col min="14339" max="14339" width="13.5703125" style="502" customWidth="1"/>
    <col min="14340" max="14340" width="65" style="502" customWidth="1"/>
    <col min="14341" max="14341" width="6.7109375" style="502" customWidth="1"/>
    <col min="14342" max="14342" width="8.42578125" style="502" customWidth="1"/>
    <col min="14343" max="14343" width="10" style="502" customWidth="1"/>
    <col min="14344" max="14344" width="15.7109375" style="502" customWidth="1"/>
    <col min="14345" max="14345" width="17" style="502" customWidth="1"/>
    <col min="14346" max="14346" width="14.7109375" style="502" customWidth="1"/>
    <col min="14347" max="14347" width="11.5703125" style="502" customWidth="1"/>
    <col min="14348" max="14592" width="9" style="502"/>
    <col min="14593" max="14593" width="4.140625" style="502" customWidth="1"/>
    <col min="14594" max="14594" width="4.28515625" style="502" customWidth="1"/>
    <col min="14595" max="14595" width="13.5703125" style="502" customWidth="1"/>
    <col min="14596" max="14596" width="65" style="502" customWidth="1"/>
    <col min="14597" max="14597" width="6.7109375" style="502" customWidth="1"/>
    <col min="14598" max="14598" width="8.42578125" style="502" customWidth="1"/>
    <col min="14599" max="14599" width="10" style="502" customWidth="1"/>
    <col min="14600" max="14600" width="15.7109375" style="502" customWidth="1"/>
    <col min="14601" max="14601" width="17" style="502" customWidth="1"/>
    <col min="14602" max="14602" width="14.7109375" style="502" customWidth="1"/>
    <col min="14603" max="14603" width="11.5703125" style="502" customWidth="1"/>
    <col min="14604" max="14848" width="9" style="502"/>
    <col min="14849" max="14849" width="4.140625" style="502" customWidth="1"/>
    <col min="14850" max="14850" width="4.28515625" style="502" customWidth="1"/>
    <col min="14851" max="14851" width="13.5703125" style="502" customWidth="1"/>
    <col min="14852" max="14852" width="65" style="502" customWidth="1"/>
    <col min="14853" max="14853" width="6.7109375" style="502" customWidth="1"/>
    <col min="14854" max="14854" width="8.42578125" style="502" customWidth="1"/>
    <col min="14855" max="14855" width="10" style="502" customWidth="1"/>
    <col min="14856" max="14856" width="15.7109375" style="502" customWidth="1"/>
    <col min="14857" max="14857" width="17" style="502" customWidth="1"/>
    <col min="14858" max="14858" width="14.7109375" style="502" customWidth="1"/>
    <col min="14859" max="14859" width="11.5703125" style="502" customWidth="1"/>
    <col min="14860" max="15104" width="9" style="502"/>
    <col min="15105" max="15105" width="4.140625" style="502" customWidth="1"/>
    <col min="15106" max="15106" width="4.28515625" style="502" customWidth="1"/>
    <col min="15107" max="15107" width="13.5703125" style="502" customWidth="1"/>
    <col min="15108" max="15108" width="65" style="502" customWidth="1"/>
    <col min="15109" max="15109" width="6.7109375" style="502" customWidth="1"/>
    <col min="15110" max="15110" width="8.42578125" style="502" customWidth="1"/>
    <col min="15111" max="15111" width="10" style="502" customWidth="1"/>
    <col min="15112" max="15112" width="15.7109375" style="502" customWidth="1"/>
    <col min="15113" max="15113" width="17" style="502" customWidth="1"/>
    <col min="15114" max="15114" width="14.7109375" style="502" customWidth="1"/>
    <col min="15115" max="15115" width="11.5703125" style="502" customWidth="1"/>
    <col min="15116" max="15360" width="9" style="502"/>
    <col min="15361" max="15361" width="4.140625" style="502" customWidth="1"/>
    <col min="15362" max="15362" width="4.28515625" style="502" customWidth="1"/>
    <col min="15363" max="15363" width="13.5703125" style="502" customWidth="1"/>
    <col min="15364" max="15364" width="65" style="502" customWidth="1"/>
    <col min="15365" max="15365" width="6.7109375" style="502" customWidth="1"/>
    <col min="15366" max="15366" width="8.42578125" style="502" customWidth="1"/>
    <col min="15367" max="15367" width="10" style="502" customWidth="1"/>
    <col min="15368" max="15368" width="15.7109375" style="502" customWidth="1"/>
    <col min="15369" max="15369" width="17" style="502" customWidth="1"/>
    <col min="15370" max="15370" width="14.7109375" style="502" customWidth="1"/>
    <col min="15371" max="15371" width="11.5703125" style="502" customWidth="1"/>
    <col min="15372" max="15616" width="9" style="502"/>
    <col min="15617" max="15617" width="4.140625" style="502" customWidth="1"/>
    <col min="15618" max="15618" width="4.28515625" style="502" customWidth="1"/>
    <col min="15619" max="15619" width="13.5703125" style="502" customWidth="1"/>
    <col min="15620" max="15620" width="65" style="502" customWidth="1"/>
    <col min="15621" max="15621" width="6.7109375" style="502" customWidth="1"/>
    <col min="15622" max="15622" width="8.42578125" style="502" customWidth="1"/>
    <col min="15623" max="15623" width="10" style="502" customWidth="1"/>
    <col min="15624" max="15624" width="15.7109375" style="502" customWidth="1"/>
    <col min="15625" max="15625" width="17" style="502" customWidth="1"/>
    <col min="15626" max="15626" width="14.7109375" style="502" customWidth="1"/>
    <col min="15627" max="15627" width="11.5703125" style="502" customWidth="1"/>
    <col min="15628" max="15872" width="9" style="502"/>
    <col min="15873" max="15873" width="4.140625" style="502" customWidth="1"/>
    <col min="15874" max="15874" width="4.28515625" style="502" customWidth="1"/>
    <col min="15875" max="15875" width="13.5703125" style="502" customWidth="1"/>
    <col min="15876" max="15876" width="65" style="502" customWidth="1"/>
    <col min="15877" max="15877" width="6.7109375" style="502" customWidth="1"/>
    <col min="15878" max="15878" width="8.42578125" style="502" customWidth="1"/>
    <col min="15879" max="15879" width="10" style="502" customWidth="1"/>
    <col min="15880" max="15880" width="15.7109375" style="502" customWidth="1"/>
    <col min="15881" max="15881" width="17" style="502" customWidth="1"/>
    <col min="15882" max="15882" width="14.7109375" style="502" customWidth="1"/>
    <col min="15883" max="15883" width="11.5703125" style="502" customWidth="1"/>
    <col min="15884" max="16128" width="9" style="502"/>
    <col min="16129" max="16129" width="4.140625" style="502" customWidth="1"/>
    <col min="16130" max="16130" width="4.28515625" style="502" customWidth="1"/>
    <col min="16131" max="16131" width="13.5703125" style="502" customWidth="1"/>
    <col min="16132" max="16132" width="65" style="502" customWidth="1"/>
    <col min="16133" max="16133" width="6.7109375" style="502" customWidth="1"/>
    <col min="16134" max="16134" width="8.42578125" style="502" customWidth="1"/>
    <col min="16135" max="16135" width="10" style="502" customWidth="1"/>
    <col min="16136" max="16136" width="15.7109375" style="502" customWidth="1"/>
    <col min="16137" max="16137" width="17" style="502" customWidth="1"/>
    <col min="16138" max="16138" width="14.7109375" style="502" customWidth="1"/>
    <col min="16139" max="16139" width="11.5703125" style="502" customWidth="1"/>
    <col min="16140" max="16384" width="9" style="502"/>
  </cols>
  <sheetData>
    <row r="1" spans="1:125" s="314" customFormat="1" ht="20.25" customHeight="1">
      <c r="A1" s="119" t="s">
        <v>839</v>
      </c>
      <c r="B1" s="22"/>
      <c r="C1" s="22"/>
      <c r="D1" s="22"/>
      <c r="E1" s="22"/>
      <c r="F1" s="22"/>
      <c r="G1" s="22"/>
      <c r="H1" s="22"/>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c r="AS1" s="313"/>
      <c r="AT1" s="313"/>
      <c r="AU1" s="313"/>
      <c r="AV1" s="313"/>
      <c r="AW1" s="313"/>
      <c r="AX1" s="313"/>
      <c r="AY1" s="313"/>
      <c r="AZ1" s="313"/>
      <c r="BA1" s="313"/>
      <c r="BB1" s="313"/>
      <c r="BC1" s="313"/>
      <c r="BD1" s="313"/>
      <c r="BE1" s="313"/>
      <c r="BF1" s="313"/>
      <c r="BG1" s="313"/>
      <c r="BH1" s="313"/>
      <c r="BI1" s="313"/>
      <c r="BJ1" s="313"/>
      <c r="BK1" s="313"/>
      <c r="BL1" s="313"/>
      <c r="BM1" s="313"/>
      <c r="BN1" s="313"/>
      <c r="BO1" s="313"/>
      <c r="BP1" s="313"/>
      <c r="BQ1" s="313"/>
      <c r="BR1" s="313"/>
      <c r="BS1" s="313"/>
      <c r="BT1" s="313"/>
      <c r="BU1" s="313"/>
      <c r="BV1" s="313"/>
      <c r="BW1" s="313"/>
      <c r="BX1" s="313"/>
      <c r="BY1" s="313"/>
      <c r="BZ1" s="313"/>
      <c r="CA1" s="313"/>
      <c r="CB1" s="313"/>
      <c r="CC1" s="313"/>
      <c r="CD1" s="313"/>
      <c r="CE1" s="313"/>
      <c r="CF1" s="313"/>
      <c r="CG1" s="313"/>
      <c r="CH1" s="313"/>
      <c r="CI1" s="313"/>
      <c r="CJ1" s="313"/>
      <c r="CK1" s="313"/>
      <c r="CL1" s="313"/>
      <c r="CM1" s="313"/>
      <c r="CN1" s="313"/>
      <c r="CO1" s="313"/>
      <c r="CP1" s="313"/>
      <c r="CQ1" s="313"/>
      <c r="CR1" s="313"/>
      <c r="CS1" s="313"/>
      <c r="CT1" s="313"/>
      <c r="CU1" s="313"/>
      <c r="CV1" s="313"/>
      <c r="CW1" s="313"/>
      <c r="CX1" s="313"/>
      <c r="CY1" s="313"/>
      <c r="CZ1" s="313"/>
      <c r="DA1" s="313"/>
      <c r="DB1" s="313"/>
      <c r="DC1" s="313"/>
      <c r="DD1" s="313"/>
      <c r="DE1" s="313"/>
      <c r="DF1" s="313"/>
      <c r="DG1" s="313"/>
      <c r="DH1" s="313"/>
      <c r="DI1" s="313"/>
      <c r="DJ1" s="313"/>
      <c r="DK1" s="313"/>
      <c r="DL1" s="313"/>
      <c r="DM1" s="313"/>
      <c r="DN1" s="313"/>
      <c r="DO1" s="313"/>
      <c r="DP1" s="313"/>
      <c r="DQ1" s="313"/>
      <c r="DR1" s="313"/>
      <c r="DS1" s="313"/>
      <c r="DT1" s="313"/>
      <c r="DU1" s="313"/>
    </row>
    <row r="2" spans="1:125" s="314" customFormat="1" ht="13.5" customHeight="1">
      <c r="A2" s="142" t="s">
        <v>731</v>
      </c>
      <c r="B2" s="315"/>
      <c r="C2" s="315"/>
      <c r="D2" s="315"/>
      <c r="E2" s="23"/>
      <c r="F2" s="23"/>
      <c r="G2" s="22"/>
      <c r="H2" s="22"/>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c r="AS2" s="313"/>
      <c r="AT2" s="313"/>
      <c r="AU2" s="313"/>
      <c r="AV2" s="313"/>
      <c r="AW2" s="313"/>
      <c r="AX2" s="313"/>
      <c r="AY2" s="313"/>
      <c r="AZ2" s="313"/>
      <c r="BA2" s="313"/>
      <c r="BB2" s="313"/>
      <c r="BC2" s="313"/>
      <c r="BD2" s="313"/>
      <c r="BE2" s="313"/>
      <c r="BF2" s="313"/>
      <c r="BG2" s="313"/>
      <c r="BH2" s="313"/>
      <c r="BI2" s="313"/>
      <c r="BJ2" s="313"/>
      <c r="BK2" s="313"/>
      <c r="BL2" s="313"/>
      <c r="BM2" s="313"/>
      <c r="BN2" s="313"/>
      <c r="BO2" s="313"/>
      <c r="BP2" s="313"/>
      <c r="BQ2" s="313"/>
      <c r="BR2" s="313"/>
      <c r="BS2" s="313"/>
      <c r="BT2" s="313"/>
      <c r="BU2" s="313"/>
      <c r="BV2" s="313"/>
      <c r="BW2" s="313"/>
      <c r="BX2" s="313"/>
      <c r="BY2" s="313"/>
      <c r="BZ2" s="313"/>
      <c r="CA2" s="313"/>
      <c r="CB2" s="313"/>
      <c r="CC2" s="313"/>
      <c r="CD2" s="313"/>
      <c r="CE2" s="313"/>
      <c r="CF2" s="313"/>
      <c r="CG2" s="313"/>
      <c r="CH2" s="313"/>
      <c r="CI2" s="313"/>
      <c r="CJ2" s="313"/>
      <c r="CK2" s="313"/>
      <c r="CL2" s="313"/>
      <c r="CM2" s="313"/>
      <c r="CN2" s="313"/>
      <c r="CO2" s="313"/>
      <c r="CP2" s="313"/>
      <c r="CQ2" s="313"/>
      <c r="CR2" s="313"/>
      <c r="CS2" s="313"/>
      <c r="CT2" s="313"/>
      <c r="CU2" s="313"/>
      <c r="CV2" s="313"/>
      <c r="CW2" s="313"/>
      <c r="CX2" s="313"/>
      <c r="CY2" s="313"/>
      <c r="CZ2" s="313"/>
      <c r="DA2" s="313"/>
      <c r="DB2" s="313"/>
      <c r="DC2" s="313"/>
      <c r="DD2" s="313"/>
      <c r="DE2" s="313"/>
      <c r="DF2" s="313"/>
      <c r="DG2" s="313"/>
      <c r="DH2" s="313"/>
      <c r="DI2" s="313"/>
      <c r="DJ2" s="313"/>
      <c r="DK2" s="313"/>
      <c r="DL2" s="313"/>
      <c r="DM2" s="313"/>
      <c r="DN2" s="313"/>
      <c r="DO2" s="313"/>
      <c r="DP2" s="313"/>
      <c r="DQ2" s="313"/>
      <c r="DR2" s="313"/>
      <c r="DS2" s="313"/>
      <c r="DT2" s="313"/>
      <c r="DU2" s="313"/>
    </row>
    <row r="3" spans="1:125" s="314" customFormat="1" ht="12.75" customHeight="1">
      <c r="A3" s="142" t="s">
        <v>328</v>
      </c>
      <c r="B3" s="315"/>
      <c r="C3" s="315"/>
      <c r="D3" s="315"/>
      <c r="E3" s="23"/>
      <c r="F3" s="23"/>
      <c r="G3" s="22"/>
      <c r="H3" s="22"/>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c r="AP3" s="313"/>
      <c r="AQ3" s="313"/>
      <c r="AR3" s="313"/>
      <c r="AS3" s="313"/>
      <c r="AT3" s="313"/>
      <c r="AU3" s="313"/>
      <c r="AV3" s="313"/>
      <c r="AW3" s="313"/>
      <c r="AX3" s="313"/>
      <c r="AY3" s="313"/>
      <c r="AZ3" s="313"/>
      <c r="BA3" s="313"/>
      <c r="BB3" s="313"/>
      <c r="BC3" s="313"/>
      <c r="BD3" s="313"/>
      <c r="BE3" s="313"/>
      <c r="BF3" s="313"/>
      <c r="BG3" s="313"/>
      <c r="BH3" s="313"/>
      <c r="BI3" s="313"/>
      <c r="BJ3" s="313"/>
      <c r="BK3" s="313"/>
      <c r="BL3" s="313"/>
      <c r="BM3" s="313"/>
      <c r="BN3" s="313"/>
      <c r="BO3" s="313"/>
      <c r="BP3" s="313"/>
      <c r="BQ3" s="313"/>
      <c r="BR3" s="313"/>
      <c r="BS3" s="313"/>
      <c r="BT3" s="313"/>
      <c r="BU3" s="313"/>
      <c r="BV3" s="313"/>
      <c r="BW3" s="313"/>
      <c r="BX3" s="313"/>
      <c r="BY3" s="313"/>
      <c r="BZ3" s="313"/>
      <c r="CA3" s="313"/>
      <c r="CB3" s="313"/>
      <c r="CC3" s="313"/>
      <c r="CD3" s="313"/>
      <c r="CE3" s="313"/>
      <c r="CF3" s="313"/>
      <c r="CG3" s="313"/>
      <c r="CH3" s="313"/>
      <c r="CI3" s="313"/>
      <c r="CJ3" s="313"/>
      <c r="CK3" s="313"/>
      <c r="CL3" s="313"/>
      <c r="CM3" s="313"/>
      <c r="CN3" s="313"/>
      <c r="CO3" s="313"/>
      <c r="CP3" s="313"/>
      <c r="CQ3" s="313"/>
      <c r="CR3" s="313"/>
      <c r="CS3" s="313"/>
      <c r="CT3" s="313"/>
      <c r="CU3" s="313"/>
      <c r="CV3" s="313"/>
      <c r="CW3" s="313"/>
      <c r="CX3" s="313"/>
      <c r="CY3" s="313"/>
      <c r="CZ3" s="313"/>
      <c r="DA3" s="313"/>
      <c r="DB3" s="313"/>
      <c r="DC3" s="313"/>
      <c r="DD3" s="313"/>
      <c r="DE3" s="313"/>
      <c r="DF3" s="313"/>
      <c r="DG3" s="313"/>
      <c r="DH3" s="313"/>
      <c r="DI3" s="313"/>
      <c r="DJ3" s="313"/>
      <c r="DK3" s="313"/>
      <c r="DL3" s="313"/>
      <c r="DM3" s="313"/>
      <c r="DN3" s="313"/>
      <c r="DO3" s="313"/>
      <c r="DP3" s="313"/>
      <c r="DQ3" s="313"/>
      <c r="DR3" s="313"/>
      <c r="DS3" s="313"/>
      <c r="DT3" s="313"/>
      <c r="DU3" s="313"/>
    </row>
    <row r="4" spans="1:125" s="314" customFormat="1" ht="12.75" customHeight="1">
      <c r="A4" s="27" t="s">
        <v>91</v>
      </c>
      <c r="B4" s="316"/>
      <c r="C4" s="316"/>
      <c r="D4" s="316"/>
      <c r="E4" s="23"/>
      <c r="F4" s="23"/>
      <c r="G4" s="22"/>
      <c r="H4" s="22"/>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c r="AQ4" s="313"/>
      <c r="AR4" s="313"/>
      <c r="AS4" s="313"/>
      <c r="AT4" s="313"/>
      <c r="AU4" s="313"/>
      <c r="AV4" s="313"/>
      <c r="AW4" s="313"/>
      <c r="AX4" s="313"/>
      <c r="AY4" s="313"/>
      <c r="AZ4" s="313"/>
      <c r="BA4" s="313"/>
      <c r="BB4" s="313"/>
      <c r="BC4" s="313"/>
      <c r="BD4" s="313"/>
      <c r="BE4" s="313"/>
      <c r="BF4" s="313"/>
      <c r="BG4" s="313"/>
      <c r="BH4" s="313"/>
      <c r="BI4" s="313"/>
      <c r="BJ4" s="313"/>
      <c r="BK4" s="313"/>
      <c r="BL4" s="313"/>
      <c r="BM4" s="313"/>
      <c r="BN4" s="313"/>
      <c r="BO4" s="313"/>
      <c r="BP4" s="313"/>
      <c r="BQ4" s="313"/>
      <c r="BR4" s="313"/>
      <c r="BS4" s="313"/>
      <c r="BT4" s="313"/>
      <c r="BU4" s="313"/>
      <c r="BV4" s="313"/>
      <c r="BW4" s="313"/>
      <c r="BX4" s="313"/>
      <c r="BY4" s="313"/>
      <c r="BZ4" s="313"/>
      <c r="CA4" s="313"/>
      <c r="CB4" s="313"/>
      <c r="CC4" s="313"/>
      <c r="CD4" s="313"/>
      <c r="CE4" s="313"/>
      <c r="CF4" s="313"/>
      <c r="CG4" s="313"/>
      <c r="CH4" s="313"/>
      <c r="CI4" s="313"/>
      <c r="CJ4" s="313"/>
      <c r="CK4" s="313"/>
      <c r="CL4" s="313"/>
      <c r="CM4" s="313"/>
      <c r="CN4" s="313"/>
      <c r="CO4" s="313"/>
      <c r="CP4" s="313"/>
      <c r="CQ4" s="313"/>
      <c r="CR4" s="313"/>
      <c r="CS4" s="313"/>
      <c r="CT4" s="313"/>
      <c r="CU4" s="313"/>
      <c r="CV4" s="313"/>
      <c r="CW4" s="313"/>
      <c r="CX4" s="313"/>
      <c r="CY4" s="313"/>
      <c r="CZ4" s="313"/>
      <c r="DA4" s="313"/>
      <c r="DB4" s="313"/>
      <c r="DC4" s="313"/>
      <c r="DD4" s="313"/>
      <c r="DE4" s="313"/>
      <c r="DF4" s="313"/>
      <c r="DG4" s="313"/>
      <c r="DH4" s="313"/>
      <c r="DI4" s="313"/>
      <c r="DJ4" s="313"/>
      <c r="DK4" s="313"/>
      <c r="DL4" s="313"/>
      <c r="DM4" s="313"/>
      <c r="DN4" s="313"/>
      <c r="DO4" s="313"/>
      <c r="DP4" s="313"/>
      <c r="DQ4" s="313"/>
      <c r="DR4" s="313"/>
      <c r="DS4" s="313"/>
      <c r="DT4" s="313"/>
      <c r="DU4" s="313"/>
    </row>
    <row r="5" spans="1:125" s="314" customFormat="1" ht="12.75" customHeight="1">
      <c r="A5" s="23" t="s">
        <v>167</v>
      </c>
      <c r="B5" s="23"/>
      <c r="C5" s="23"/>
      <c r="D5" s="23"/>
      <c r="E5" s="23"/>
      <c r="F5" s="23"/>
      <c r="G5" s="22"/>
      <c r="H5" s="22"/>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c r="AW5" s="313"/>
      <c r="AX5" s="313"/>
      <c r="AY5" s="313"/>
      <c r="AZ5" s="313"/>
      <c r="BA5" s="313"/>
      <c r="BB5" s="313"/>
      <c r="BC5" s="313"/>
      <c r="BD5" s="313"/>
      <c r="BE5" s="313"/>
      <c r="BF5" s="313"/>
      <c r="BG5" s="313"/>
      <c r="BH5" s="313"/>
      <c r="BI5" s="313"/>
      <c r="BJ5" s="313"/>
      <c r="BK5" s="313"/>
      <c r="BL5" s="313"/>
      <c r="BM5" s="313"/>
      <c r="BN5" s="313"/>
      <c r="BO5" s="313"/>
      <c r="BP5" s="313"/>
      <c r="BQ5" s="313"/>
      <c r="BR5" s="313"/>
      <c r="BS5" s="313"/>
      <c r="BT5" s="313"/>
      <c r="BU5" s="313"/>
      <c r="BV5" s="313"/>
      <c r="BW5" s="313"/>
      <c r="BX5" s="313"/>
      <c r="BY5" s="313"/>
      <c r="BZ5" s="313"/>
      <c r="CA5" s="313"/>
      <c r="CB5" s="313"/>
      <c r="CC5" s="313"/>
      <c r="CD5" s="313"/>
      <c r="CE5" s="313"/>
      <c r="CF5" s="313"/>
      <c r="CG5" s="313"/>
      <c r="CH5" s="313"/>
      <c r="CI5" s="313"/>
      <c r="CJ5" s="313"/>
      <c r="CK5" s="313"/>
      <c r="CL5" s="313"/>
      <c r="CM5" s="313"/>
      <c r="CN5" s="313"/>
      <c r="CO5" s="313"/>
      <c r="CP5" s="313"/>
      <c r="CQ5" s="313"/>
      <c r="CR5" s="313"/>
      <c r="CS5" s="313"/>
      <c r="CT5" s="313"/>
      <c r="CU5" s="313"/>
      <c r="CV5" s="313"/>
      <c r="CW5" s="313"/>
      <c r="CX5" s="313"/>
      <c r="CY5" s="313"/>
      <c r="CZ5" s="313"/>
      <c r="DA5" s="313"/>
      <c r="DB5" s="313"/>
      <c r="DC5" s="313"/>
      <c r="DD5" s="313"/>
      <c r="DE5" s="313"/>
      <c r="DF5" s="313"/>
      <c r="DG5" s="313"/>
      <c r="DH5" s="313"/>
      <c r="DI5" s="313"/>
      <c r="DJ5" s="313"/>
      <c r="DK5" s="313"/>
      <c r="DL5" s="313"/>
      <c r="DM5" s="313"/>
      <c r="DN5" s="313"/>
      <c r="DO5" s="313"/>
      <c r="DP5" s="313"/>
      <c r="DQ5" s="313"/>
      <c r="DR5" s="313"/>
      <c r="DS5" s="313"/>
      <c r="DT5" s="313"/>
      <c r="DU5" s="313"/>
    </row>
    <row r="6" spans="1:125" s="314" customFormat="1" ht="12.75" customHeight="1">
      <c r="A6" s="23"/>
      <c r="B6" s="23"/>
      <c r="C6" s="23"/>
      <c r="D6" s="23"/>
      <c r="E6" s="23"/>
      <c r="F6" s="23"/>
      <c r="G6" s="22"/>
      <c r="H6" s="22"/>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c r="AP6" s="313"/>
      <c r="AQ6" s="313"/>
      <c r="AR6" s="313"/>
      <c r="AS6" s="313"/>
      <c r="AT6" s="313"/>
      <c r="AU6" s="313"/>
      <c r="AV6" s="313"/>
      <c r="AW6" s="313"/>
      <c r="AX6" s="313"/>
      <c r="AY6" s="313"/>
      <c r="AZ6" s="313"/>
      <c r="BA6" s="313"/>
      <c r="BB6" s="313"/>
      <c r="BC6" s="313"/>
      <c r="BD6" s="313"/>
      <c r="BE6" s="313"/>
      <c r="BF6" s="313"/>
      <c r="BG6" s="313"/>
      <c r="BH6" s="313"/>
      <c r="BI6" s="313"/>
      <c r="BJ6" s="313"/>
      <c r="BK6" s="313"/>
      <c r="BL6" s="313"/>
      <c r="BM6" s="313"/>
      <c r="BN6" s="313"/>
      <c r="BO6" s="313"/>
      <c r="BP6" s="313"/>
      <c r="BQ6" s="313"/>
      <c r="BR6" s="313"/>
      <c r="BS6" s="313"/>
      <c r="BT6" s="313"/>
      <c r="BU6" s="313"/>
      <c r="BV6" s="313"/>
      <c r="BW6" s="313"/>
      <c r="BX6" s="313"/>
      <c r="BY6" s="313"/>
      <c r="BZ6" s="313"/>
      <c r="CA6" s="313"/>
      <c r="CB6" s="313"/>
      <c r="CC6" s="313"/>
      <c r="CD6" s="313"/>
      <c r="CE6" s="313"/>
      <c r="CF6" s="313"/>
      <c r="CG6" s="313"/>
      <c r="CH6" s="313"/>
      <c r="CI6" s="313"/>
      <c r="CJ6" s="313"/>
      <c r="CK6" s="313"/>
      <c r="CL6" s="313"/>
      <c r="CM6" s="313"/>
      <c r="CN6" s="313"/>
      <c r="CO6" s="313"/>
      <c r="CP6" s="313"/>
      <c r="CQ6" s="313"/>
      <c r="CR6" s="313"/>
      <c r="CS6" s="313"/>
      <c r="CT6" s="313"/>
      <c r="CU6" s="313"/>
      <c r="CV6" s="313"/>
      <c r="CW6" s="313"/>
      <c r="CX6" s="313"/>
      <c r="CY6" s="313"/>
      <c r="CZ6" s="313"/>
      <c r="DA6" s="313"/>
      <c r="DB6" s="313"/>
      <c r="DC6" s="313"/>
      <c r="DD6" s="313"/>
      <c r="DE6" s="313"/>
      <c r="DF6" s="313"/>
      <c r="DG6" s="313"/>
      <c r="DH6" s="313"/>
      <c r="DI6" s="313"/>
      <c r="DJ6" s="313"/>
      <c r="DK6" s="313"/>
      <c r="DL6" s="313"/>
      <c r="DM6" s="313"/>
      <c r="DN6" s="313"/>
      <c r="DO6" s="313"/>
      <c r="DP6" s="313"/>
      <c r="DQ6" s="313"/>
      <c r="DR6" s="313"/>
      <c r="DS6" s="313"/>
      <c r="DT6" s="313"/>
      <c r="DU6" s="313"/>
    </row>
    <row r="7" spans="1:125" s="314" customFormat="1" ht="24.75" customHeight="1">
      <c r="A7" s="24" t="s">
        <v>71</v>
      </c>
      <c r="B7" s="24" t="s">
        <v>72</v>
      </c>
      <c r="C7" s="24" t="s">
        <v>73</v>
      </c>
      <c r="D7" s="24" t="s">
        <v>74</v>
      </c>
      <c r="E7" s="24" t="s">
        <v>75</v>
      </c>
      <c r="F7" s="24" t="s">
        <v>76</v>
      </c>
      <c r="G7" s="24" t="s">
        <v>77</v>
      </c>
      <c r="H7" s="24" t="s">
        <v>16</v>
      </c>
      <c r="I7" s="24" t="s">
        <v>30</v>
      </c>
      <c r="J7" s="317"/>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c r="AW7" s="313"/>
      <c r="AX7" s="313"/>
      <c r="AY7" s="313"/>
      <c r="AZ7" s="313"/>
      <c r="BA7" s="313"/>
      <c r="BB7" s="313"/>
      <c r="BC7" s="313"/>
      <c r="BD7" s="313"/>
      <c r="BE7" s="313"/>
      <c r="BF7" s="313"/>
      <c r="BG7" s="313"/>
      <c r="BH7" s="313"/>
      <c r="BI7" s="313"/>
      <c r="BJ7" s="313"/>
      <c r="BK7" s="313"/>
      <c r="BL7" s="313"/>
      <c r="BM7" s="313"/>
      <c r="BN7" s="313"/>
      <c r="BO7" s="313"/>
      <c r="BP7" s="313"/>
      <c r="BQ7" s="313"/>
      <c r="BR7" s="313"/>
      <c r="BS7" s="313"/>
      <c r="BT7" s="313"/>
      <c r="BU7" s="313"/>
      <c r="BV7" s="313"/>
      <c r="BW7" s="313"/>
      <c r="BX7" s="313"/>
      <c r="BY7" s="313"/>
      <c r="BZ7" s="313"/>
      <c r="CA7" s="313"/>
      <c r="CB7" s="313"/>
      <c r="CC7" s="313"/>
      <c r="CD7" s="313"/>
      <c r="CE7" s="313"/>
      <c r="CF7" s="313"/>
      <c r="CG7" s="313"/>
      <c r="CH7" s="313"/>
      <c r="CI7" s="313"/>
      <c r="CJ7" s="313"/>
      <c r="CK7" s="313"/>
      <c r="CL7" s="313"/>
      <c r="CM7" s="313"/>
      <c r="CN7" s="313"/>
      <c r="CO7" s="313"/>
      <c r="CP7" s="313"/>
      <c r="CQ7" s="313"/>
      <c r="CR7" s="313"/>
      <c r="CS7" s="313"/>
      <c r="CT7" s="313"/>
      <c r="CU7" s="313"/>
      <c r="CV7" s="313"/>
      <c r="CW7" s="313"/>
      <c r="CX7" s="313"/>
      <c r="CY7" s="313"/>
      <c r="CZ7" s="313"/>
      <c r="DA7" s="313"/>
      <c r="DB7" s="313"/>
      <c r="DC7" s="313"/>
      <c r="DD7" s="313"/>
      <c r="DE7" s="313"/>
      <c r="DF7" s="313"/>
      <c r="DG7" s="313"/>
      <c r="DH7" s="313"/>
      <c r="DI7" s="313"/>
      <c r="DJ7" s="313"/>
      <c r="DK7" s="313"/>
      <c r="DL7" s="313"/>
      <c r="DM7" s="313"/>
      <c r="DN7" s="313"/>
      <c r="DO7" s="313"/>
      <c r="DP7" s="313"/>
      <c r="DQ7" s="313"/>
      <c r="DR7" s="313"/>
      <c r="DS7" s="313"/>
      <c r="DT7" s="313"/>
      <c r="DU7" s="313"/>
    </row>
    <row r="8" spans="1:125" s="314" customFormat="1" ht="12.75" customHeight="1">
      <c r="A8" s="24" t="s">
        <v>78</v>
      </c>
      <c r="B8" s="24" t="s">
        <v>79</v>
      </c>
      <c r="C8" s="24" t="s">
        <v>80</v>
      </c>
      <c r="D8" s="24" t="s">
        <v>81</v>
      </c>
      <c r="E8" s="24" t="s">
        <v>82</v>
      </c>
      <c r="F8" s="24" t="s">
        <v>83</v>
      </c>
      <c r="G8" s="24" t="s">
        <v>84</v>
      </c>
      <c r="H8" s="24">
        <v>8</v>
      </c>
      <c r="I8" s="24">
        <v>9</v>
      </c>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c r="AW8" s="313"/>
      <c r="AX8" s="313"/>
      <c r="AY8" s="313"/>
      <c r="AZ8" s="313"/>
      <c r="BA8" s="313"/>
      <c r="BB8" s="313"/>
      <c r="BC8" s="313"/>
      <c r="BD8" s="313"/>
      <c r="BE8" s="313"/>
      <c r="BF8" s="313"/>
      <c r="BG8" s="313"/>
      <c r="BH8" s="313"/>
      <c r="BI8" s="313"/>
      <c r="BJ8" s="313"/>
      <c r="BK8" s="313"/>
      <c r="BL8" s="313"/>
      <c r="BM8" s="313"/>
      <c r="BN8" s="313"/>
      <c r="BO8" s="313"/>
      <c r="BP8" s="313"/>
      <c r="BQ8" s="313"/>
      <c r="BR8" s="313"/>
      <c r="BS8" s="313"/>
      <c r="BT8" s="313"/>
      <c r="BU8" s="313"/>
      <c r="BV8" s="313"/>
      <c r="BW8" s="313"/>
      <c r="BX8" s="313"/>
      <c r="BY8" s="313"/>
      <c r="BZ8" s="313"/>
      <c r="CA8" s="313"/>
      <c r="CB8" s="313"/>
      <c r="CC8" s="313"/>
      <c r="CD8" s="313"/>
      <c r="CE8" s="313"/>
      <c r="CF8" s="313"/>
      <c r="CG8" s="313"/>
      <c r="CH8" s="313"/>
      <c r="CI8" s="313"/>
      <c r="CJ8" s="313"/>
      <c r="CK8" s="313"/>
      <c r="CL8" s="313"/>
      <c r="CM8" s="313"/>
      <c r="CN8" s="313"/>
      <c r="CO8" s="313"/>
      <c r="CP8" s="313"/>
      <c r="CQ8" s="313"/>
      <c r="CR8" s="313"/>
      <c r="CS8" s="313"/>
      <c r="CT8" s="313"/>
      <c r="CU8" s="313"/>
      <c r="CV8" s="313"/>
      <c r="CW8" s="313"/>
      <c r="CX8" s="313"/>
      <c r="CY8" s="313"/>
      <c r="CZ8" s="313"/>
      <c r="DA8" s="313"/>
      <c r="DB8" s="313"/>
      <c r="DC8" s="313"/>
      <c r="DD8" s="313"/>
      <c r="DE8" s="313"/>
      <c r="DF8" s="313"/>
      <c r="DG8" s="313"/>
      <c r="DH8" s="313"/>
      <c r="DI8" s="313"/>
      <c r="DJ8" s="313"/>
      <c r="DK8" s="313"/>
      <c r="DL8" s="313"/>
      <c r="DM8" s="313"/>
      <c r="DN8" s="313"/>
      <c r="DO8" s="313"/>
      <c r="DP8" s="313"/>
      <c r="DQ8" s="313"/>
      <c r="DR8" s="313"/>
      <c r="DS8" s="313"/>
      <c r="DT8" s="313"/>
      <c r="DU8" s="313"/>
    </row>
    <row r="9" spans="1:125" s="314" customFormat="1" ht="21" customHeight="1">
      <c r="A9" s="318"/>
      <c r="B9" s="319"/>
      <c r="C9" s="319" t="s">
        <v>93</v>
      </c>
      <c r="D9" s="319" t="s">
        <v>94</v>
      </c>
      <c r="E9" s="319"/>
      <c r="F9" s="320"/>
      <c r="G9" s="321"/>
      <c r="H9" s="321">
        <f>H10+H19+H56</f>
        <v>0</v>
      </c>
      <c r="I9" s="313"/>
      <c r="J9" s="322"/>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c r="AW9" s="313"/>
      <c r="AX9" s="313"/>
      <c r="AY9" s="313"/>
      <c r="AZ9" s="313"/>
      <c r="BA9" s="313"/>
      <c r="BB9" s="313"/>
      <c r="BC9" s="313"/>
      <c r="BD9" s="313"/>
      <c r="BE9" s="313"/>
      <c r="BF9" s="313"/>
      <c r="BG9" s="313"/>
      <c r="BH9" s="313"/>
      <c r="BI9" s="313"/>
      <c r="BJ9" s="313"/>
      <c r="BK9" s="313"/>
      <c r="BL9" s="313"/>
      <c r="BM9" s="313"/>
      <c r="BN9" s="313"/>
      <c r="BO9" s="313"/>
      <c r="BP9" s="313"/>
      <c r="BQ9" s="313"/>
      <c r="BR9" s="313"/>
      <c r="BS9" s="313"/>
      <c r="BT9" s="313"/>
      <c r="BU9" s="313"/>
      <c r="BV9" s="313"/>
      <c r="BW9" s="313"/>
      <c r="BX9" s="313"/>
      <c r="BY9" s="313"/>
      <c r="BZ9" s="313"/>
      <c r="CA9" s="313"/>
      <c r="CB9" s="313"/>
      <c r="CC9" s="313"/>
      <c r="CD9" s="313"/>
      <c r="CE9" s="313"/>
      <c r="CF9" s="313"/>
      <c r="CG9" s="313"/>
      <c r="CH9" s="313"/>
      <c r="CI9" s="313"/>
      <c r="CJ9" s="313"/>
      <c r="CK9" s="313"/>
      <c r="CL9" s="313"/>
      <c r="CM9" s="313"/>
      <c r="CN9" s="313"/>
      <c r="CO9" s="313"/>
      <c r="CP9" s="313"/>
      <c r="CQ9" s="313"/>
      <c r="CR9" s="313"/>
      <c r="CS9" s="313"/>
      <c r="CT9" s="313"/>
      <c r="CU9" s="313"/>
      <c r="CV9" s="313"/>
      <c r="CW9" s="313"/>
      <c r="CX9" s="313"/>
      <c r="CY9" s="313"/>
      <c r="CZ9" s="313"/>
      <c r="DA9" s="313"/>
      <c r="DB9" s="313"/>
      <c r="DC9" s="313"/>
      <c r="DD9" s="313"/>
      <c r="DE9" s="313"/>
      <c r="DF9" s="313"/>
      <c r="DG9" s="313"/>
      <c r="DH9" s="313"/>
      <c r="DI9" s="313"/>
      <c r="DJ9" s="313"/>
      <c r="DK9" s="313"/>
      <c r="DL9" s="313"/>
      <c r="DM9" s="313"/>
      <c r="DN9" s="313"/>
      <c r="DO9" s="313"/>
      <c r="DP9" s="313"/>
      <c r="DQ9" s="313"/>
      <c r="DR9" s="313"/>
      <c r="DS9" s="313"/>
      <c r="DT9" s="313"/>
      <c r="DU9" s="313"/>
    </row>
    <row r="10" spans="1:125" s="314" customFormat="1" ht="13.5" customHeight="1">
      <c r="A10" s="323"/>
      <c r="B10" s="324"/>
      <c r="C10" s="324">
        <v>1</v>
      </c>
      <c r="D10" s="324" t="s">
        <v>95</v>
      </c>
      <c r="E10" s="324"/>
      <c r="F10" s="325"/>
      <c r="G10" s="326"/>
      <c r="H10" s="326">
        <f>SUM(H11:H18)</f>
        <v>0</v>
      </c>
      <c r="I10" s="327"/>
      <c r="J10" s="328"/>
      <c r="K10" s="328"/>
      <c r="L10" s="328"/>
      <c r="M10" s="328"/>
      <c r="N10" s="328"/>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3"/>
      <c r="CS10" s="313"/>
      <c r="CT10" s="313"/>
      <c r="CU10" s="313"/>
      <c r="CV10" s="313"/>
      <c r="CW10" s="313"/>
      <c r="CX10" s="313"/>
      <c r="CY10" s="313"/>
      <c r="CZ10" s="313"/>
      <c r="DA10" s="313"/>
      <c r="DB10" s="313"/>
      <c r="DC10" s="313"/>
      <c r="DD10" s="313"/>
      <c r="DE10" s="313"/>
      <c r="DF10" s="313"/>
      <c r="DG10" s="313"/>
      <c r="DH10" s="313"/>
      <c r="DI10" s="313"/>
      <c r="DJ10" s="313"/>
      <c r="DK10" s="313"/>
      <c r="DL10" s="313"/>
      <c r="DM10" s="313"/>
      <c r="DN10" s="313"/>
      <c r="DO10" s="313"/>
      <c r="DP10" s="313"/>
      <c r="DQ10" s="313"/>
      <c r="DR10" s="313"/>
      <c r="DS10" s="313"/>
      <c r="DT10" s="313"/>
      <c r="DU10" s="313"/>
    </row>
    <row r="11" spans="1:125" s="335" customFormat="1" ht="13.5" customHeight="1">
      <c r="A11" s="329" t="s">
        <v>78</v>
      </c>
      <c r="B11" s="330" t="s">
        <v>96</v>
      </c>
      <c r="C11" s="85">
        <v>174151101</v>
      </c>
      <c r="D11" s="85" t="s">
        <v>161</v>
      </c>
      <c r="E11" s="85" t="s">
        <v>122</v>
      </c>
      <c r="F11" s="35">
        <f>SUM(F12:F13)</f>
        <v>78.944000000000003</v>
      </c>
      <c r="G11" s="88"/>
      <c r="H11" s="331">
        <f>F11*G11</f>
        <v>0</v>
      </c>
      <c r="I11" s="332" t="s">
        <v>738</v>
      </c>
      <c r="J11" s="317"/>
      <c r="K11" s="333"/>
      <c r="L11" s="333"/>
      <c r="M11" s="333"/>
      <c r="N11" s="333"/>
      <c r="O11" s="333"/>
      <c r="P11" s="333"/>
      <c r="Q11" s="333"/>
      <c r="R11" s="334"/>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c r="AW11" s="333"/>
      <c r="AX11" s="333"/>
      <c r="AY11" s="333"/>
      <c r="AZ11" s="333"/>
      <c r="BA11" s="333"/>
      <c r="BB11" s="333"/>
      <c r="BC11" s="333"/>
      <c r="BD11" s="333"/>
      <c r="BE11" s="333"/>
      <c r="BF11" s="333"/>
      <c r="BG11" s="333"/>
      <c r="BH11" s="333"/>
      <c r="BI11" s="333"/>
      <c r="BJ11" s="333"/>
      <c r="BK11" s="333"/>
      <c r="BL11" s="333"/>
      <c r="BM11" s="333"/>
      <c r="BN11" s="333"/>
      <c r="BO11" s="333"/>
      <c r="BP11" s="333"/>
      <c r="BQ11" s="333"/>
      <c r="BR11" s="333"/>
      <c r="BS11" s="333"/>
      <c r="BT11" s="333"/>
      <c r="BU11" s="333"/>
      <c r="BV11" s="333"/>
      <c r="BW11" s="333"/>
      <c r="BX11" s="333"/>
      <c r="BY11" s="333"/>
      <c r="BZ11" s="333"/>
      <c r="CA11" s="333"/>
      <c r="CB11" s="333"/>
      <c r="CC11" s="333"/>
      <c r="CD11" s="333"/>
      <c r="CE11" s="333"/>
      <c r="CF11" s="333"/>
      <c r="CG11" s="333"/>
      <c r="CH11" s="333"/>
      <c r="CI11" s="333"/>
      <c r="CJ11" s="333"/>
      <c r="CK11" s="333"/>
      <c r="CL11" s="333"/>
      <c r="CM11" s="333"/>
      <c r="CN11" s="333"/>
      <c r="CO11" s="333"/>
      <c r="CP11" s="333"/>
      <c r="CQ11" s="333"/>
      <c r="CR11" s="333"/>
      <c r="CS11" s="333"/>
      <c r="CT11" s="333"/>
      <c r="CU11" s="333"/>
      <c r="CV11" s="333"/>
      <c r="CW11" s="333"/>
      <c r="CX11" s="333"/>
      <c r="CY11" s="333"/>
      <c r="CZ11" s="333"/>
      <c r="DA11" s="333"/>
      <c r="DB11" s="333"/>
      <c r="DC11" s="333"/>
      <c r="DD11" s="333"/>
      <c r="DE11" s="333"/>
      <c r="DF11" s="333"/>
      <c r="DG11" s="333"/>
      <c r="DH11" s="333"/>
      <c r="DI11" s="333"/>
      <c r="DJ11" s="333"/>
      <c r="DK11" s="333"/>
      <c r="DL11" s="333"/>
      <c r="DM11" s="333"/>
      <c r="DN11" s="333"/>
      <c r="DO11" s="333"/>
      <c r="DP11" s="333"/>
      <c r="DQ11" s="333"/>
      <c r="DR11" s="333"/>
      <c r="DS11" s="333"/>
      <c r="DT11" s="333"/>
      <c r="DU11" s="333"/>
    </row>
    <row r="12" spans="1:125" s="341" customFormat="1" ht="13.5" customHeight="1">
      <c r="A12" s="329"/>
      <c r="B12" s="336"/>
      <c r="C12" s="85"/>
      <c r="D12" s="117" t="s">
        <v>343</v>
      </c>
      <c r="E12" s="336"/>
      <c r="F12" s="337">
        <f>(42.19+3.76)+21.43</f>
        <v>67.38</v>
      </c>
      <c r="G12" s="338"/>
      <c r="H12" s="331"/>
      <c r="I12" s="332"/>
      <c r="J12" s="317"/>
      <c r="K12" s="339"/>
      <c r="L12" s="339"/>
      <c r="M12" s="340"/>
      <c r="N12" s="340"/>
      <c r="O12" s="339"/>
      <c r="P12" s="339"/>
      <c r="Q12" s="340"/>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39"/>
      <c r="BH12" s="339"/>
      <c r="BI12" s="339"/>
      <c r="BJ12" s="339"/>
      <c r="BK12" s="339"/>
      <c r="BL12" s="339"/>
      <c r="BM12" s="339"/>
      <c r="BN12" s="339"/>
      <c r="BO12" s="339"/>
      <c r="BP12" s="339"/>
      <c r="BQ12" s="339"/>
      <c r="BR12" s="339"/>
      <c r="BS12" s="339"/>
      <c r="BT12" s="339"/>
      <c r="BU12" s="339"/>
      <c r="BV12" s="339"/>
      <c r="BW12" s="339"/>
      <c r="BX12" s="339"/>
      <c r="BY12" s="339"/>
      <c r="BZ12" s="339"/>
      <c r="CA12" s="339"/>
      <c r="CB12" s="339"/>
      <c r="CC12" s="339"/>
      <c r="CD12" s="339"/>
      <c r="CE12" s="339"/>
      <c r="CF12" s="339"/>
      <c r="CG12" s="339"/>
      <c r="CH12" s="339"/>
      <c r="CI12" s="339"/>
      <c r="CJ12" s="339"/>
      <c r="CK12" s="339"/>
      <c r="CL12" s="339"/>
      <c r="CM12" s="339"/>
      <c r="CN12" s="339"/>
      <c r="CO12" s="339"/>
      <c r="CP12" s="339"/>
      <c r="CQ12" s="339"/>
      <c r="CR12" s="339"/>
      <c r="CS12" s="339"/>
      <c r="CT12" s="339"/>
      <c r="CU12" s="339"/>
      <c r="CV12" s="339"/>
      <c r="CW12" s="339"/>
      <c r="CX12" s="339"/>
      <c r="CY12" s="339"/>
      <c r="CZ12" s="339"/>
      <c r="DA12" s="339"/>
      <c r="DB12" s="339"/>
      <c r="DC12" s="339"/>
      <c r="DD12" s="339"/>
      <c r="DE12" s="339"/>
      <c r="DF12" s="339"/>
      <c r="DG12" s="339"/>
      <c r="DH12" s="339"/>
      <c r="DI12" s="339"/>
      <c r="DJ12" s="339"/>
      <c r="DK12" s="339"/>
      <c r="DL12" s="339"/>
      <c r="DM12" s="339"/>
      <c r="DN12" s="339"/>
      <c r="DO12" s="339"/>
      <c r="DP12" s="339"/>
      <c r="DQ12" s="339"/>
      <c r="DR12" s="339"/>
      <c r="DS12" s="339"/>
      <c r="DT12" s="339"/>
      <c r="DU12" s="339"/>
    </row>
    <row r="13" spans="1:125" s="341" customFormat="1" ht="13.5" customHeight="1">
      <c r="A13" s="329"/>
      <c r="B13" s="336"/>
      <c r="C13" s="85"/>
      <c r="D13" s="117" t="s">
        <v>344</v>
      </c>
      <c r="E13" s="336"/>
      <c r="F13" s="337">
        <f>(5.9*19.6)*0.1</f>
        <v>11.564000000000002</v>
      </c>
      <c r="G13" s="338"/>
      <c r="H13" s="331"/>
      <c r="I13" s="332"/>
      <c r="J13" s="342"/>
      <c r="K13" s="339"/>
      <c r="L13" s="339"/>
      <c r="M13" s="340"/>
      <c r="N13" s="340"/>
      <c r="O13" s="339"/>
      <c r="P13" s="339"/>
      <c r="Q13" s="340"/>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c r="AW13" s="339"/>
      <c r="AX13" s="339"/>
      <c r="AY13" s="339"/>
      <c r="AZ13" s="339"/>
      <c r="BA13" s="339"/>
      <c r="BB13" s="339"/>
      <c r="BC13" s="339"/>
      <c r="BD13" s="339"/>
      <c r="BE13" s="339"/>
      <c r="BF13" s="339"/>
      <c r="BG13" s="339"/>
      <c r="BH13" s="339"/>
      <c r="BI13" s="339"/>
      <c r="BJ13" s="339"/>
      <c r="BK13" s="339"/>
      <c r="BL13" s="339"/>
      <c r="BM13" s="339"/>
      <c r="BN13" s="339"/>
      <c r="BO13" s="339"/>
      <c r="BP13" s="339"/>
      <c r="BQ13" s="339"/>
      <c r="BR13" s="339"/>
      <c r="BS13" s="339"/>
      <c r="BT13" s="339"/>
      <c r="BU13" s="339"/>
      <c r="BV13" s="339"/>
      <c r="BW13" s="339"/>
      <c r="BX13" s="339"/>
      <c r="BY13" s="339"/>
      <c r="BZ13" s="339"/>
      <c r="CA13" s="339"/>
      <c r="CB13" s="339"/>
      <c r="CC13" s="339"/>
      <c r="CD13" s="339"/>
      <c r="CE13" s="339"/>
      <c r="CF13" s="339"/>
      <c r="CG13" s="339"/>
      <c r="CH13" s="339"/>
      <c r="CI13" s="339"/>
      <c r="CJ13" s="339"/>
      <c r="CK13" s="339"/>
      <c r="CL13" s="339"/>
      <c r="CM13" s="339"/>
      <c r="CN13" s="339"/>
      <c r="CO13" s="339"/>
      <c r="CP13" s="339"/>
      <c r="CQ13" s="339"/>
      <c r="CR13" s="339"/>
      <c r="CS13" s="339"/>
      <c r="CT13" s="339"/>
      <c r="CU13" s="339"/>
      <c r="CV13" s="339"/>
      <c r="CW13" s="339"/>
      <c r="CX13" s="339"/>
      <c r="CY13" s="339"/>
      <c r="CZ13" s="339"/>
      <c r="DA13" s="339"/>
      <c r="DB13" s="339"/>
      <c r="DC13" s="339"/>
      <c r="DD13" s="339"/>
      <c r="DE13" s="339"/>
      <c r="DF13" s="339"/>
      <c r="DG13" s="339"/>
      <c r="DH13" s="339"/>
      <c r="DI13" s="339"/>
      <c r="DJ13" s="339"/>
      <c r="DK13" s="339"/>
      <c r="DL13" s="339"/>
      <c r="DM13" s="339"/>
      <c r="DN13" s="339"/>
      <c r="DO13" s="339"/>
      <c r="DP13" s="339"/>
      <c r="DQ13" s="339"/>
      <c r="DR13" s="339"/>
      <c r="DS13" s="339"/>
      <c r="DT13" s="339"/>
      <c r="DU13" s="339"/>
    </row>
    <row r="14" spans="1:125" s="335" customFormat="1" ht="13.5" customHeight="1">
      <c r="A14" s="343" t="s">
        <v>79</v>
      </c>
      <c r="B14" s="344" t="s">
        <v>123</v>
      </c>
      <c r="C14" s="87">
        <v>10364100</v>
      </c>
      <c r="D14" s="87" t="s">
        <v>124</v>
      </c>
      <c r="E14" s="87" t="s">
        <v>125</v>
      </c>
      <c r="F14" s="38">
        <f>SUM(F15)</f>
        <v>134.19799999999998</v>
      </c>
      <c r="G14" s="89"/>
      <c r="H14" s="345">
        <f>F14*G14</f>
        <v>0</v>
      </c>
      <c r="I14" s="346" t="s">
        <v>738</v>
      </c>
      <c r="J14" s="347"/>
      <c r="K14" s="333"/>
      <c r="L14" s="333"/>
      <c r="M14" s="333"/>
      <c r="N14" s="333"/>
      <c r="O14" s="333"/>
      <c r="P14" s="333"/>
      <c r="Q14" s="333"/>
      <c r="R14" s="334"/>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c r="AW14" s="333"/>
      <c r="AX14" s="333"/>
      <c r="AY14" s="333"/>
      <c r="AZ14" s="333"/>
      <c r="BA14" s="333"/>
      <c r="BB14" s="333"/>
      <c r="BC14" s="333"/>
      <c r="BD14" s="333"/>
      <c r="BE14" s="333"/>
      <c r="BF14" s="333"/>
      <c r="BG14" s="333"/>
      <c r="BH14" s="333"/>
      <c r="BI14" s="333"/>
      <c r="BJ14" s="333"/>
      <c r="BK14" s="333"/>
      <c r="BL14" s="333"/>
      <c r="BM14" s="333"/>
      <c r="BN14" s="333"/>
      <c r="BO14" s="333"/>
      <c r="BP14" s="333"/>
      <c r="BQ14" s="333"/>
      <c r="BR14" s="333"/>
      <c r="BS14" s="333"/>
      <c r="BT14" s="333"/>
      <c r="BU14" s="333"/>
      <c r="BV14" s="333"/>
      <c r="BW14" s="333"/>
      <c r="BX14" s="333"/>
      <c r="BY14" s="333"/>
      <c r="BZ14" s="333"/>
      <c r="CA14" s="333"/>
      <c r="CB14" s="333"/>
      <c r="CC14" s="333"/>
      <c r="CD14" s="333"/>
      <c r="CE14" s="333"/>
      <c r="CF14" s="333"/>
      <c r="CG14" s="333"/>
      <c r="CH14" s="333"/>
      <c r="CI14" s="333"/>
      <c r="CJ14" s="333"/>
      <c r="CK14" s="333"/>
      <c r="CL14" s="333"/>
      <c r="CM14" s="333"/>
      <c r="CN14" s="333"/>
      <c r="CO14" s="333"/>
      <c r="CP14" s="333"/>
      <c r="CQ14" s="333"/>
      <c r="CR14" s="333"/>
      <c r="CS14" s="333"/>
      <c r="CT14" s="333"/>
      <c r="CU14" s="333"/>
      <c r="CV14" s="333"/>
      <c r="CW14" s="333"/>
      <c r="CX14" s="333"/>
      <c r="CY14" s="333"/>
      <c r="CZ14" s="333"/>
      <c r="DA14" s="333"/>
      <c r="DB14" s="333"/>
      <c r="DC14" s="333"/>
      <c r="DD14" s="333"/>
      <c r="DE14" s="333"/>
      <c r="DF14" s="333"/>
      <c r="DG14" s="333"/>
      <c r="DH14" s="333"/>
      <c r="DI14" s="333"/>
      <c r="DJ14" s="333"/>
      <c r="DK14" s="333"/>
      <c r="DL14" s="333"/>
      <c r="DM14" s="333"/>
      <c r="DN14" s="333"/>
      <c r="DO14" s="333"/>
      <c r="DP14" s="333"/>
      <c r="DQ14" s="333"/>
      <c r="DR14" s="333"/>
      <c r="DS14" s="333"/>
      <c r="DT14" s="333"/>
      <c r="DU14" s="333"/>
    </row>
    <row r="15" spans="1:125" s="341" customFormat="1" ht="13.5" customHeight="1">
      <c r="A15" s="343"/>
      <c r="B15" s="348"/>
      <c r="C15" s="87"/>
      <c r="D15" s="118" t="s">
        <v>346</v>
      </c>
      <c r="E15" s="348"/>
      <c r="F15" s="349">
        <f>(67.38+11.56)*1.7</f>
        <v>134.19799999999998</v>
      </c>
      <c r="G15" s="350"/>
      <c r="H15" s="345"/>
      <c r="I15" s="346"/>
      <c r="J15" s="351"/>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c r="AW15" s="339"/>
      <c r="AX15" s="339"/>
      <c r="AY15" s="339"/>
      <c r="AZ15" s="339"/>
      <c r="BA15" s="339"/>
      <c r="BB15" s="339"/>
      <c r="BC15" s="339"/>
      <c r="BD15" s="339"/>
      <c r="BE15" s="339"/>
      <c r="BF15" s="339"/>
      <c r="BG15" s="339"/>
      <c r="BH15" s="339"/>
      <c r="BI15" s="339"/>
      <c r="BJ15" s="339"/>
      <c r="BK15" s="339"/>
      <c r="BL15" s="339"/>
      <c r="BM15" s="339"/>
      <c r="BN15" s="339"/>
      <c r="BO15" s="339"/>
      <c r="BP15" s="339"/>
      <c r="BQ15" s="339"/>
      <c r="BR15" s="339"/>
      <c r="BS15" s="339"/>
      <c r="BT15" s="339"/>
      <c r="BU15" s="339"/>
      <c r="BV15" s="339"/>
      <c r="BW15" s="339"/>
      <c r="BX15" s="339"/>
      <c r="BY15" s="339"/>
      <c r="BZ15" s="339"/>
      <c r="CA15" s="339"/>
      <c r="CB15" s="339"/>
      <c r="CC15" s="339"/>
      <c r="CD15" s="339"/>
      <c r="CE15" s="339"/>
      <c r="CF15" s="339"/>
      <c r="CG15" s="339"/>
      <c r="CH15" s="339"/>
      <c r="CI15" s="339"/>
      <c r="CJ15" s="339"/>
      <c r="CK15" s="339"/>
      <c r="CL15" s="339"/>
      <c r="CM15" s="339"/>
      <c r="CN15" s="339"/>
      <c r="CO15" s="339"/>
      <c r="CP15" s="339"/>
      <c r="CQ15" s="339"/>
      <c r="CR15" s="339"/>
      <c r="CS15" s="339"/>
      <c r="CT15" s="339"/>
      <c r="CU15" s="339"/>
      <c r="CV15" s="339"/>
      <c r="CW15" s="339"/>
      <c r="CX15" s="339"/>
      <c r="CY15" s="339"/>
      <c r="CZ15" s="339"/>
      <c r="DA15" s="339"/>
      <c r="DB15" s="339"/>
      <c r="DC15" s="339"/>
      <c r="DD15" s="339"/>
      <c r="DE15" s="339"/>
      <c r="DF15" s="339"/>
      <c r="DG15" s="339"/>
      <c r="DH15" s="339"/>
      <c r="DI15" s="339"/>
      <c r="DJ15" s="339"/>
      <c r="DK15" s="339"/>
      <c r="DL15" s="339"/>
      <c r="DM15" s="339"/>
      <c r="DN15" s="339"/>
      <c r="DO15" s="339"/>
      <c r="DP15" s="339"/>
      <c r="DQ15" s="339"/>
      <c r="DR15" s="339"/>
      <c r="DS15" s="339"/>
      <c r="DT15" s="339"/>
      <c r="DU15" s="339"/>
    </row>
    <row r="16" spans="1:125" s="314" customFormat="1" ht="26.25" customHeight="1">
      <c r="A16" s="352">
        <v>3</v>
      </c>
      <c r="B16" s="353" t="s">
        <v>126</v>
      </c>
      <c r="C16" s="85">
        <v>181111121</v>
      </c>
      <c r="D16" s="85" t="s">
        <v>127</v>
      </c>
      <c r="E16" s="354" t="s">
        <v>98</v>
      </c>
      <c r="F16" s="355">
        <f>F17</f>
        <v>176.71</v>
      </c>
      <c r="G16" s="503"/>
      <c r="H16" s="356">
        <f>F16*G16</f>
        <v>0</v>
      </c>
      <c r="I16" s="332" t="s">
        <v>738</v>
      </c>
      <c r="J16" s="317"/>
      <c r="K16" s="317"/>
      <c r="L16" s="328"/>
      <c r="M16" s="357"/>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c r="AW16" s="313"/>
      <c r="AX16" s="313"/>
      <c r="AY16" s="313"/>
      <c r="AZ16" s="313"/>
      <c r="BA16" s="313"/>
      <c r="BB16" s="313"/>
      <c r="BC16" s="313"/>
      <c r="BD16" s="313"/>
      <c r="BE16" s="313"/>
      <c r="BF16" s="313"/>
      <c r="BG16" s="313"/>
      <c r="BH16" s="313"/>
      <c r="BI16" s="313"/>
      <c r="BJ16" s="313"/>
      <c r="BK16" s="313"/>
      <c r="BL16" s="313"/>
      <c r="BM16" s="313"/>
      <c r="BN16" s="313"/>
      <c r="BO16" s="313"/>
      <c r="BP16" s="313"/>
      <c r="BQ16" s="313"/>
      <c r="BR16" s="313"/>
      <c r="BS16" s="313"/>
      <c r="BT16" s="313"/>
      <c r="BU16" s="313"/>
      <c r="BV16" s="313"/>
      <c r="BW16" s="313"/>
      <c r="BX16" s="313"/>
      <c r="BY16" s="313"/>
      <c r="BZ16" s="313"/>
      <c r="CA16" s="313"/>
      <c r="CB16" s="313"/>
      <c r="CC16" s="313"/>
      <c r="CD16" s="313"/>
      <c r="CE16" s="313"/>
      <c r="CF16" s="313"/>
      <c r="CG16" s="313"/>
      <c r="CH16" s="313"/>
      <c r="CI16" s="313"/>
      <c r="CJ16" s="313"/>
      <c r="CK16" s="313"/>
      <c r="CL16" s="313"/>
      <c r="CM16" s="313"/>
      <c r="CN16" s="313"/>
      <c r="CO16" s="313"/>
      <c r="CP16" s="313"/>
      <c r="CQ16" s="313"/>
      <c r="CR16" s="313"/>
      <c r="CS16" s="313"/>
      <c r="CT16" s="313"/>
      <c r="CU16" s="313"/>
      <c r="CV16" s="313"/>
      <c r="CW16" s="313"/>
      <c r="CX16" s="313"/>
      <c r="CY16" s="313"/>
      <c r="CZ16" s="313"/>
      <c r="DA16" s="313"/>
      <c r="DB16" s="313"/>
      <c r="DC16" s="313"/>
      <c r="DD16" s="313"/>
      <c r="DE16" s="313"/>
      <c r="DF16" s="313"/>
      <c r="DG16" s="313"/>
      <c r="DH16" s="313"/>
      <c r="DI16" s="313"/>
      <c r="DJ16" s="313"/>
      <c r="DK16" s="313"/>
      <c r="DL16" s="313"/>
      <c r="DM16" s="313"/>
      <c r="DN16" s="313"/>
      <c r="DO16" s="313"/>
      <c r="DP16" s="313"/>
      <c r="DQ16" s="313"/>
      <c r="DR16" s="313"/>
      <c r="DS16" s="313"/>
      <c r="DT16" s="313"/>
      <c r="DU16" s="313"/>
    </row>
    <row r="17" spans="1:125" s="314" customFormat="1" ht="13.5" customHeight="1">
      <c r="A17" s="352"/>
      <c r="B17" s="353"/>
      <c r="C17" s="354"/>
      <c r="D17" s="358" t="s">
        <v>334</v>
      </c>
      <c r="E17" s="354"/>
      <c r="F17" s="359">
        <f>176.71</f>
        <v>176.71</v>
      </c>
      <c r="G17" s="356"/>
      <c r="H17" s="356"/>
      <c r="I17" s="360"/>
      <c r="J17" s="322"/>
      <c r="K17" s="361"/>
      <c r="L17" s="361"/>
      <c r="M17" s="361"/>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c r="AW17" s="313"/>
      <c r="AX17" s="313"/>
      <c r="AY17" s="313"/>
      <c r="AZ17" s="313"/>
      <c r="BA17" s="313"/>
      <c r="BB17" s="313"/>
      <c r="BC17" s="313"/>
      <c r="BD17" s="313"/>
      <c r="BE17" s="313"/>
      <c r="BF17" s="313"/>
      <c r="BG17" s="313"/>
      <c r="BH17" s="313"/>
      <c r="BI17" s="313"/>
      <c r="BJ17" s="313"/>
      <c r="BK17" s="313"/>
      <c r="BL17" s="313"/>
      <c r="BM17" s="313"/>
      <c r="BN17" s="313"/>
      <c r="BO17" s="313"/>
      <c r="BP17" s="313"/>
      <c r="BQ17" s="313"/>
      <c r="BR17" s="313"/>
      <c r="BS17" s="313"/>
      <c r="BT17" s="313"/>
      <c r="BU17" s="313"/>
      <c r="BV17" s="313"/>
      <c r="BW17" s="313"/>
      <c r="BX17" s="313"/>
      <c r="BY17" s="313"/>
      <c r="BZ17" s="313"/>
      <c r="CA17" s="313"/>
      <c r="CB17" s="313"/>
      <c r="CC17" s="313"/>
      <c r="CD17" s="313"/>
      <c r="CE17" s="313"/>
      <c r="CF17" s="313"/>
      <c r="CG17" s="313"/>
      <c r="CH17" s="313"/>
      <c r="CI17" s="313"/>
      <c r="CJ17" s="313"/>
      <c r="CK17" s="313"/>
      <c r="CL17" s="313"/>
      <c r="CM17" s="313"/>
      <c r="CN17" s="313"/>
      <c r="CO17" s="313"/>
      <c r="CP17" s="313"/>
      <c r="CQ17" s="313"/>
      <c r="CR17" s="313"/>
      <c r="CS17" s="313"/>
      <c r="CT17" s="313"/>
      <c r="CU17" s="313"/>
      <c r="CV17" s="313"/>
      <c r="CW17" s="313"/>
      <c r="CX17" s="313"/>
      <c r="CY17" s="313"/>
      <c r="CZ17" s="313"/>
      <c r="DA17" s="313"/>
      <c r="DB17" s="313"/>
      <c r="DC17" s="313"/>
      <c r="DD17" s="313"/>
      <c r="DE17" s="313"/>
      <c r="DF17" s="313"/>
      <c r="DG17" s="313"/>
      <c r="DH17" s="313"/>
      <c r="DI17" s="313"/>
      <c r="DJ17" s="313"/>
      <c r="DK17" s="313"/>
      <c r="DL17" s="313"/>
      <c r="DM17" s="313"/>
      <c r="DN17" s="313"/>
      <c r="DO17" s="313"/>
      <c r="DP17" s="313"/>
      <c r="DQ17" s="313"/>
      <c r="DR17" s="313"/>
      <c r="DS17" s="313"/>
      <c r="DT17" s="313"/>
      <c r="DU17" s="313"/>
    </row>
    <row r="18" spans="1:125" s="314" customFormat="1" ht="13.5" customHeight="1">
      <c r="A18" s="352"/>
      <c r="B18" s="353"/>
      <c r="C18" s="354"/>
      <c r="D18" s="358" t="s">
        <v>201</v>
      </c>
      <c r="E18" s="354"/>
      <c r="F18" s="359"/>
      <c r="G18" s="356"/>
      <c r="H18" s="356"/>
      <c r="I18" s="360"/>
      <c r="J18" s="322"/>
      <c r="K18" s="361"/>
      <c r="L18" s="361"/>
      <c r="M18" s="361"/>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c r="AW18" s="313"/>
      <c r="AX18" s="313"/>
      <c r="AY18" s="313"/>
      <c r="AZ18" s="313"/>
      <c r="BA18" s="313"/>
      <c r="BB18" s="313"/>
      <c r="BC18" s="313"/>
      <c r="BD18" s="313"/>
      <c r="BE18" s="313"/>
      <c r="BF18" s="313"/>
      <c r="BG18" s="313"/>
      <c r="BH18" s="313"/>
      <c r="BI18" s="313"/>
      <c r="BJ18" s="313"/>
      <c r="BK18" s="313"/>
      <c r="BL18" s="313"/>
      <c r="BM18" s="313"/>
      <c r="BN18" s="313"/>
      <c r="BO18" s="313"/>
      <c r="BP18" s="313"/>
      <c r="BQ18" s="313"/>
      <c r="BR18" s="313"/>
      <c r="BS18" s="313"/>
      <c r="BT18" s="313"/>
      <c r="BU18" s="313"/>
      <c r="BV18" s="313"/>
      <c r="BW18" s="313"/>
      <c r="BX18" s="313"/>
      <c r="BY18" s="313"/>
      <c r="BZ18" s="313"/>
      <c r="CA18" s="313"/>
      <c r="CB18" s="313"/>
      <c r="CC18" s="313"/>
      <c r="CD18" s="313"/>
      <c r="CE18" s="313"/>
      <c r="CF18" s="313"/>
      <c r="CG18" s="313"/>
      <c r="CH18" s="313"/>
      <c r="CI18" s="313"/>
      <c r="CJ18" s="313"/>
      <c r="CK18" s="313"/>
      <c r="CL18" s="313"/>
      <c r="CM18" s="313"/>
      <c r="CN18" s="313"/>
      <c r="CO18" s="313"/>
      <c r="CP18" s="313"/>
      <c r="CQ18" s="313"/>
      <c r="CR18" s="313"/>
      <c r="CS18" s="313"/>
      <c r="CT18" s="313"/>
      <c r="CU18" s="313"/>
      <c r="CV18" s="313"/>
      <c r="CW18" s="313"/>
      <c r="CX18" s="313"/>
      <c r="CY18" s="313"/>
      <c r="CZ18" s="313"/>
      <c r="DA18" s="313"/>
      <c r="DB18" s="313"/>
      <c r="DC18" s="313"/>
      <c r="DD18" s="313"/>
      <c r="DE18" s="313"/>
      <c r="DF18" s="313"/>
      <c r="DG18" s="313"/>
      <c r="DH18" s="313"/>
      <c r="DI18" s="313"/>
      <c r="DJ18" s="313"/>
      <c r="DK18" s="313"/>
      <c r="DL18" s="313"/>
      <c r="DM18" s="313"/>
      <c r="DN18" s="313"/>
      <c r="DO18" s="313"/>
      <c r="DP18" s="313"/>
      <c r="DQ18" s="313"/>
      <c r="DR18" s="313"/>
      <c r="DS18" s="313"/>
      <c r="DT18" s="313"/>
      <c r="DU18" s="313"/>
    </row>
    <row r="19" spans="1:125" s="314" customFormat="1" ht="13.5" customHeight="1">
      <c r="A19" s="323"/>
      <c r="B19" s="324"/>
      <c r="C19" s="324" t="s">
        <v>128</v>
      </c>
      <c r="D19" s="324" t="s">
        <v>129</v>
      </c>
      <c r="E19" s="324"/>
      <c r="F19" s="325"/>
      <c r="G19" s="326"/>
      <c r="H19" s="326">
        <f>SUM(H20:H44,H48:H50,H55)</f>
        <v>0</v>
      </c>
      <c r="I19" s="327"/>
      <c r="J19" s="328"/>
      <c r="K19" s="362"/>
      <c r="L19" s="362"/>
      <c r="M19" s="362"/>
      <c r="N19" s="328"/>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c r="AW19" s="313"/>
      <c r="AX19" s="313"/>
      <c r="AY19" s="313"/>
      <c r="AZ19" s="313"/>
      <c r="BA19" s="313"/>
      <c r="BB19" s="313"/>
      <c r="BC19" s="313"/>
      <c r="BD19" s="313"/>
      <c r="BE19" s="313"/>
      <c r="BF19" s="313"/>
      <c r="BG19" s="313"/>
      <c r="BH19" s="313"/>
      <c r="BI19" s="313"/>
      <c r="BJ19" s="313"/>
      <c r="BK19" s="313"/>
      <c r="BL19" s="313"/>
      <c r="BM19" s="313"/>
      <c r="BN19" s="313"/>
      <c r="BO19" s="313"/>
      <c r="BP19" s="313"/>
      <c r="BQ19" s="313"/>
      <c r="BR19" s="313"/>
      <c r="BS19" s="313"/>
      <c r="BT19" s="313"/>
      <c r="BU19" s="313"/>
      <c r="BV19" s="313"/>
      <c r="BW19" s="313"/>
      <c r="BX19" s="313"/>
      <c r="BY19" s="313"/>
      <c r="BZ19" s="313"/>
      <c r="CA19" s="313"/>
      <c r="CB19" s="313"/>
      <c r="CC19" s="313"/>
      <c r="CD19" s="313"/>
      <c r="CE19" s="313"/>
      <c r="CF19" s="313"/>
      <c r="CG19" s="313"/>
      <c r="CH19" s="313"/>
      <c r="CI19" s="313"/>
      <c r="CJ19" s="313"/>
      <c r="CK19" s="313"/>
      <c r="CL19" s="313"/>
      <c r="CM19" s="313"/>
      <c r="CN19" s="313"/>
      <c r="CO19" s="313"/>
      <c r="CP19" s="313"/>
      <c r="CQ19" s="313"/>
      <c r="CR19" s="313"/>
      <c r="CS19" s="313"/>
      <c r="CT19" s="313"/>
      <c r="CU19" s="313"/>
      <c r="CV19" s="313"/>
      <c r="CW19" s="313"/>
      <c r="CX19" s="313"/>
      <c r="CY19" s="313"/>
      <c r="CZ19" s="313"/>
      <c r="DA19" s="313"/>
      <c r="DB19" s="313"/>
      <c r="DC19" s="313"/>
      <c r="DD19" s="313"/>
      <c r="DE19" s="313"/>
      <c r="DF19" s="313"/>
      <c r="DG19" s="313"/>
      <c r="DH19" s="313"/>
      <c r="DI19" s="313"/>
      <c r="DJ19" s="313"/>
      <c r="DK19" s="313"/>
      <c r="DL19" s="313"/>
      <c r="DM19" s="313"/>
      <c r="DN19" s="313"/>
      <c r="DO19" s="313"/>
      <c r="DP19" s="313"/>
      <c r="DQ19" s="313"/>
      <c r="DR19" s="313"/>
      <c r="DS19" s="313"/>
      <c r="DT19" s="313"/>
      <c r="DU19" s="313"/>
    </row>
    <row r="20" spans="1:125" s="335" customFormat="1" ht="13.5" customHeight="1">
      <c r="A20" s="329" t="s">
        <v>81</v>
      </c>
      <c r="B20" s="330" t="s">
        <v>130</v>
      </c>
      <c r="C20" s="85" t="s">
        <v>207</v>
      </c>
      <c r="D20" s="85" t="s">
        <v>347</v>
      </c>
      <c r="E20" s="85" t="s">
        <v>102</v>
      </c>
      <c r="F20" s="363">
        <f>F21</f>
        <v>1</v>
      </c>
      <c r="G20" s="88"/>
      <c r="H20" s="331">
        <f>F20*G20</f>
        <v>0</v>
      </c>
      <c r="I20" s="332" t="s">
        <v>739</v>
      </c>
      <c r="J20" s="364"/>
      <c r="K20" s="365"/>
      <c r="L20" s="366"/>
      <c r="M20" s="366"/>
      <c r="N20" s="367"/>
      <c r="O20" s="368"/>
      <c r="P20" s="369"/>
      <c r="Q20" s="370"/>
      <c r="R20" s="371"/>
      <c r="S20" s="371"/>
      <c r="T20" s="372"/>
      <c r="U20" s="373"/>
      <c r="V20" s="374"/>
      <c r="W20" s="373"/>
      <c r="X20" s="333"/>
      <c r="Y20" s="333"/>
      <c r="Z20" s="333"/>
      <c r="AA20" s="333"/>
      <c r="AB20" s="333"/>
      <c r="AC20" s="333"/>
      <c r="AD20" s="333"/>
      <c r="AE20" s="333"/>
      <c r="AF20" s="333"/>
      <c r="AG20" s="333"/>
      <c r="AH20" s="333"/>
      <c r="AI20" s="333"/>
      <c r="AJ20" s="333"/>
      <c r="AK20" s="333"/>
      <c r="AL20" s="333"/>
      <c r="AM20" s="333"/>
      <c r="AN20" s="333"/>
      <c r="AO20" s="333"/>
      <c r="AP20" s="333"/>
      <c r="AQ20" s="333"/>
      <c r="AR20" s="333"/>
      <c r="AS20" s="333"/>
      <c r="AT20" s="333"/>
      <c r="AU20" s="333"/>
      <c r="AV20" s="333"/>
      <c r="AW20" s="333"/>
      <c r="AX20" s="333"/>
      <c r="AY20" s="333"/>
      <c r="AZ20" s="333"/>
      <c r="BA20" s="333"/>
      <c r="BB20" s="333"/>
      <c r="BC20" s="333"/>
      <c r="BD20" s="333"/>
      <c r="BE20" s="333"/>
      <c r="BF20" s="333"/>
      <c r="BG20" s="333"/>
      <c r="BH20" s="333"/>
      <c r="BI20" s="333"/>
      <c r="BJ20" s="333"/>
      <c r="BK20" s="333"/>
      <c r="BL20" s="333"/>
      <c r="BM20" s="333"/>
      <c r="BN20" s="333"/>
      <c r="BO20" s="333"/>
      <c r="BP20" s="333"/>
      <c r="BQ20" s="333"/>
      <c r="BR20" s="333"/>
      <c r="BS20" s="333"/>
      <c r="BT20" s="333"/>
      <c r="BU20" s="333"/>
      <c r="BV20" s="333"/>
      <c r="BW20" s="333"/>
      <c r="BX20" s="333"/>
      <c r="BY20" s="333"/>
      <c r="BZ20" s="333"/>
      <c r="CA20" s="333"/>
      <c r="CB20" s="333"/>
      <c r="CC20" s="333"/>
      <c r="CD20" s="333"/>
      <c r="CE20" s="333"/>
      <c r="CF20" s="333"/>
      <c r="CG20" s="333"/>
      <c r="CH20" s="333"/>
      <c r="CI20" s="333"/>
      <c r="CJ20" s="333"/>
      <c r="CK20" s="333"/>
      <c r="CL20" s="333"/>
      <c r="CM20" s="333"/>
      <c r="CN20" s="333"/>
      <c r="CO20" s="333"/>
      <c r="CP20" s="333"/>
      <c r="CQ20" s="333"/>
      <c r="CR20" s="333"/>
      <c r="CS20" s="333"/>
      <c r="CT20" s="333"/>
      <c r="CU20" s="333"/>
      <c r="CV20" s="333"/>
      <c r="CW20" s="333"/>
      <c r="CX20" s="333"/>
      <c r="CY20" s="333"/>
      <c r="CZ20" s="333"/>
      <c r="DA20" s="333"/>
      <c r="DB20" s="333"/>
      <c r="DC20" s="333"/>
      <c r="DD20" s="333"/>
      <c r="DE20" s="333"/>
      <c r="DF20" s="333"/>
      <c r="DG20" s="333"/>
      <c r="DH20" s="333"/>
      <c r="DI20" s="333"/>
      <c r="DJ20" s="333"/>
      <c r="DK20" s="333"/>
      <c r="DL20" s="333"/>
      <c r="DM20" s="333"/>
      <c r="DN20" s="333"/>
      <c r="DO20" s="333"/>
      <c r="DP20" s="333"/>
      <c r="DQ20" s="333"/>
      <c r="DR20" s="333"/>
      <c r="DS20" s="333"/>
      <c r="DT20" s="333"/>
      <c r="DU20" s="333"/>
    </row>
    <row r="21" spans="1:125" s="335" customFormat="1" ht="67.5" customHeight="1">
      <c r="A21" s="329"/>
      <c r="B21" s="330"/>
      <c r="C21" s="85"/>
      <c r="D21" s="375" t="s">
        <v>742</v>
      </c>
      <c r="E21" s="85"/>
      <c r="F21" s="337">
        <v>1</v>
      </c>
      <c r="G21" s="331"/>
      <c r="H21" s="331"/>
      <c r="I21" s="332"/>
      <c r="J21" s="376"/>
      <c r="K21" s="365"/>
      <c r="L21" s="362"/>
      <c r="M21" s="362"/>
      <c r="N21" s="377"/>
      <c r="O21" s="378"/>
      <c r="P21" s="369"/>
      <c r="Q21" s="370"/>
      <c r="R21" s="371"/>
      <c r="S21" s="371"/>
      <c r="T21" s="372"/>
      <c r="U21" s="373"/>
      <c r="V21" s="374"/>
      <c r="W21" s="37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c r="AW21" s="333"/>
      <c r="AX21" s="333"/>
      <c r="AY21" s="333"/>
      <c r="AZ21" s="333"/>
      <c r="BA21" s="333"/>
      <c r="BB21" s="333"/>
      <c r="BC21" s="333"/>
      <c r="BD21" s="333"/>
      <c r="BE21" s="333"/>
      <c r="BF21" s="333"/>
      <c r="BG21" s="333"/>
      <c r="BH21" s="333"/>
      <c r="BI21" s="333"/>
      <c r="BJ21" s="333"/>
      <c r="BK21" s="333"/>
      <c r="BL21" s="333"/>
      <c r="BM21" s="333"/>
      <c r="BN21" s="333"/>
      <c r="BO21" s="333"/>
      <c r="BP21" s="333"/>
      <c r="BQ21" s="333"/>
      <c r="BR21" s="333"/>
      <c r="BS21" s="333"/>
      <c r="BT21" s="333"/>
      <c r="BU21" s="333"/>
      <c r="BV21" s="333"/>
      <c r="BW21" s="333"/>
      <c r="BX21" s="333"/>
      <c r="BY21" s="333"/>
      <c r="BZ21" s="333"/>
      <c r="CA21" s="333"/>
      <c r="CB21" s="333"/>
      <c r="CC21" s="333"/>
      <c r="CD21" s="333"/>
      <c r="CE21" s="333"/>
      <c r="CF21" s="333"/>
      <c r="CG21" s="333"/>
      <c r="CH21" s="333"/>
      <c r="CI21" s="333"/>
      <c r="CJ21" s="333"/>
      <c r="CK21" s="333"/>
      <c r="CL21" s="333"/>
      <c r="CM21" s="333"/>
      <c r="CN21" s="333"/>
      <c r="CO21" s="333"/>
      <c r="CP21" s="333"/>
      <c r="CQ21" s="333"/>
      <c r="CR21" s="333"/>
      <c r="CS21" s="333"/>
      <c r="CT21" s="333"/>
      <c r="CU21" s="333"/>
      <c r="CV21" s="333"/>
      <c r="CW21" s="333"/>
      <c r="CX21" s="333"/>
      <c r="CY21" s="333"/>
      <c r="CZ21" s="333"/>
      <c r="DA21" s="333"/>
      <c r="DB21" s="333"/>
      <c r="DC21" s="333"/>
      <c r="DD21" s="333"/>
      <c r="DE21" s="333"/>
      <c r="DF21" s="333"/>
      <c r="DG21" s="333"/>
      <c r="DH21" s="333"/>
      <c r="DI21" s="333"/>
      <c r="DJ21" s="333"/>
      <c r="DK21" s="333"/>
      <c r="DL21" s="333"/>
      <c r="DM21" s="333"/>
      <c r="DN21" s="333"/>
      <c r="DO21" s="333"/>
      <c r="DP21" s="333"/>
      <c r="DQ21" s="333"/>
      <c r="DR21" s="333"/>
      <c r="DS21" s="333"/>
      <c r="DT21" s="333"/>
      <c r="DU21" s="333"/>
    </row>
    <row r="22" spans="1:125" s="335" customFormat="1" ht="54" customHeight="1">
      <c r="A22" s="379"/>
      <c r="B22" s="85"/>
      <c r="C22" s="85"/>
      <c r="D22" s="375" t="s">
        <v>348</v>
      </c>
      <c r="E22" s="85"/>
      <c r="F22" s="333"/>
      <c r="G22" s="331"/>
      <c r="H22" s="331"/>
      <c r="I22" s="380"/>
      <c r="J22" s="364"/>
      <c r="K22" s="365"/>
      <c r="L22" s="362"/>
      <c r="M22" s="362"/>
      <c r="N22" s="381"/>
      <c r="O22" s="382"/>
      <c r="P22" s="383"/>
      <c r="Q22" s="384"/>
      <c r="R22" s="385"/>
      <c r="S22" s="385"/>
      <c r="T22" s="386"/>
      <c r="U22" s="333"/>
      <c r="V22" s="387"/>
      <c r="W22" s="333"/>
      <c r="X22" s="333"/>
      <c r="Y22" s="333"/>
      <c r="Z22" s="333"/>
      <c r="AA22" s="333"/>
      <c r="AB22" s="333"/>
      <c r="AC22" s="333"/>
      <c r="AD22" s="333"/>
      <c r="AE22" s="333"/>
      <c r="AF22" s="333"/>
      <c r="AG22" s="333"/>
      <c r="AH22" s="333"/>
      <c r="AI22" s="333"/>
      <c r="AJ22" s="333"/>
      <c r="AK22" s="333"/>
      <c r="AL22" s="333"/>
      <c r="AM22" s="333"/>
      <c r="AN22" s="333"/>
      <c r="AO22" s="333"/>
      <c r="AP22" s="333"/>
      <c r="AQ22" s="333"/>
      <c r="AR22" s="333"/>
      <c r="AS22" s="333"/>
      <c r="AT22" s="333"/>
      <c r="AU22" s="333"/>
      <c r="AV22" s="333"/>
      <c r="AW22" s="333"/>
      <c r="AX22" s="333"/>
      <c r="AY22" s="333"/>
      <c r="AZ22" s="333"/>
      <c r="BA22" s="333"/>
      <c r="BB22" s="333"/>
      <c r="BC22" s="333"/>
      <c r="BD22" s="333"/>
      <c r="BE22" s="333"/>
      <c r="BF22" s="333"/>
      <c r="BG22" s="333"/>
      <c r="BH22" s="333"/>
      <c r="BI22" s="333"/>
      <c r="BJ22" s="333"/>
      <c r="BK22" s="333"/>
      <c r="BL22" s="333"/>
      <c r="BM22" s="333"/>
      <c r="BN22" s="333"/>
      <c r="BO22" s="333"/>
      <c r="BP22" s="333"/>
      <c r="BQ22" s="333"/>
      <c r="BR22" s="333"/>
      <c r="BS22" s="333"/>
      <c r="BT22" s="333"/>
      <c r="BU22" s="333"/>
      <c r="BV22" s="333"/>
      <c r="BW22" s="333"/>
      <c r="BX22" s="333"/>
      <c r="BY22" s="333"/>
      <c r="BZ22" s="333"/>
      <c r="CA22" s="333"/>
      <c r="CB22" s="333"/>
      <c r="CC22" s="333"/>
      <c r="CD22" s="333"/>
      <c r="CE22" s="333"/>
      <c r="CF22" s="333"/>
      <c r="CG22" s="333"/>
      <c r="CH22" s="333"/>
      <c r="CI22" s="333"/>
      <c r="CJ22" s="333"/>
      <c r="CK22" s="333"/>
      <c r="CL22" s="333"/>
      <c r="CM22" s="333"/>
      <c r="CN22" s="333"/>
      <c r="CO22" s="333"/>
      <c r="CP22" s="333"/>
      <c r="CQ22" s="333"/>
      <c r="CR22" s="333"/>
      <c r="CS22" s="333"/>
      <c r="CT22" s="333"/>
      <c r="CU22" s="333"/>
      <c r="CV22" s="333"/>
      <c r="CW22" s="333"/>
      <c r="CX22" s="333"/>
      <c r="CY22" s="333"/>
      <c r="CZ22" s="333"/>
      <c r="DA22" s="333"/>
      <c r="DB22" s="333"/>
      <c r="DC22" s="333"/>
      <c r="DD22" s="333"/>
      <c r="DE22" s="333"/>
      <c r="DF22" s="333"/>
      <c r="DG22" s="333"/>
      <c r="DH22" s="333"/>
      <c r="DI22" s="333"/>
      <c r="DJ22" s="333"/>
      <c r="DK22" s="333"/>
      <c r="DL22" s="333"/>
      <c r="DM22" s="333"/>
      <c r="DN22" s="333"/>
      <c r="DO22" s="333"/>
      <c r="DP22" s="333"/>
      <c r="DQ22" s="333"/>
      <c r="DR22" s="333"/>
      <c r="DS22" s="333"/>
      <c r="DT22" s="333"/>
      <c r="DU22" s="333"/>
    </row>
    <row r="23" spans="1:125" s="335" customFormat="1" ht="67.5" customHeight="1">
      <c r="A23" s="379"/>
      <c r="B23" s="85"/>
      <c r="C23" s="85"/>
      <c r="D23" s="388" t="s">
        <v>195</v>
      </c>
      <c r="E23" s="85"/>
      <c r="F23" s="337"/>
      <c r="G23" s="331"/>
      <c r="H23" s="331"/>
      <c r="I23" s="380"/>
      <c r="J23" s="389"/>
      <c r="K23" s="381"/>
      <c r="L23" s="362"/>
      <c r="M23" s="362"/>
      <c r="N23" s="381"/>
      <c r="O23" s="382"/>
      <c r="P23" s="383"/>
      <c r="Q23" s="384"/>
      <c r="R23" s="385"/>
      <c r="S23" s="385"/>
      <c r="T23" s="386"/>
      <c r="U23" s="333"/>
      <c r="V23" s="387"/>
      <c r="W23" s="333"/>
      <c r="X23" s="333"/>
      <c r="Y23" s="333"/>
      <c r="Z23" s="333"/>
      <c r="AA23" s="333"/>
      <c r="AB23" s="333"/>
      <c r="AC23" s="333"/>
      <c r="AD23" s="333"/>
      <c r="AE23" s="333"/>
      <c r="AF23" s="333"/>
      <c r="AG23" s="333"/>
      <c r="AH23" s="333"/>
      <c r="AI23" s="333"/>
      <c r="AJ23" s="333"/>
      <c r="AK23" s="333"/>
      <c r="AL23" s="333"/>
      <c r="AM23" s="333"/>
      <c r="AN23" s="333"/>
      <c r="AO23" s="333"/>
      <c r="AP23" s="333"/>
      <c r="AQ23" s="333"/>
      <c r="AR23" s="333"/>
      <c r="AS23" s="333"/>
      <c r="AT23" s="333"/>
      <c r="AU23" s="333"/>
      <c r="AV23" s="333"/>
      <c r="AW23" s="333"/>
      <c r="AX23" s="333"/>
      <c r="AY23" s="333"/>
      <c r="AZ23" s="333"/>
      <c r="BA23" s="333"/>
      <c r="BB23" s="333"/>
      <c r="BC23" s="333"/>
      <c r="BD23" s="333"/>
      <c r="BE23" s="333"/>
      <c r="BF23" s="333"/>
      <c r="BG23" s="333"/>
      <c r="BH23" s="333"/>
      <c r="BI23" s="333"/>
      <c r="BJ23" s="333"/>
      <c r="BK23" s="333"/>
      <c r="BL23" s="333"/>
      <c r="BM23" s="333"/>
      <c r="BN23" s="333"/>
      <c r="BO23" s="333"/>
      <c r="BP23" s="333"/>
      <c r="BQ23" s="333"/>
      <c r="BR23" s="333"/>
      <c r="BS23" s="333"/>
      <c r="BT23" s="333"/>
      <c r="BU23" s="333"/>
      <c r="BV23" s="333"/>
      <c r="BW23" s="333"/>
      <c r="BX23" s="333"/>
      <c r="BY23" s="333"/>
      <c r="BZ23" s="333"/>
      <c r="CA23" s="333"/>
      <c r="CB23" s="333"/>
      <c r="CC23" s="333"/>
      <c r="CD23" s="333"/>
      <c r="CE23" s="333"/>
      <c r="CF23" s="333"/>
      <c r="CG23" s="333"/>
      <c r="CH23" s="333"/>
      <c r="CI23" s="333"/>
      <c r="CJ23" s="333"/>
      <c r="CK23" s="333"/>
      <c r="CL23" s="333"/>
      <c r="CM23" s="333"/>
      <c r="CN23" s="333"/>
      <c r="CO23" s="333"/>
      <c r="CP23" s="333"/>
      <c r="CQ23" s="333"/>
      <c r="CR23" s="333"/>
      <c r="CS23" s="333"/>
      <c r="CT23" s="333"/>
      <c r="CU23" s="333"/>
      <c r="CV23" s="333"/>
      <c r="CW23" s="333"/>
      <c r="CX23" s="333"/>
      <c r="CY23" s="333"/>
      <c r="CZ23" s="333"/>
      <c r="DA23" s="333"/>
      <c r="DB23" s="333"/>
      <c r="DC23" s="333"/>
      <c r="DD23" s="333"/>
      <c r="DE23" s="333"/>
      <c r="DF23" s="333"/>
      <c r="DG23" s="333"/>
      <c r="DH23" s="333"/>
      <c r="DI23" s="333"/>
      <c r="DJ23" s="333"/>
      <c r="DK23" s="333"/>
      <c r="DL23" s="333"/>
      <c r="DM23" s="333"/>
      <c r="DN23" s="333"/>
      <c r="DO23" s="333"/>
      <c r="DP23" s="333"/>
      <c r="DQ23" s="333"/>
      <c r="DR23" s="333"/>
      <c r="DS23" s="333"/>
      <c r="DT23" s="333"/>
      <c r="DU23" s="333"/>
    </row>
    <row r="24" spans="1:125" s="314" customFormat="1" ht="27" customHeight="1">
      <c r="A24" s="352">
        <v>5</v>
      </c>
      <c r="B24" s="330" t="s">
        <v>196</v>
      </c>
      <c r="C24" s="354">
        <v>981011411</v>
      </c>
      <c r="D24" s="354" t="s">
        <v>312</v>
      </c>
      <c r="E24" s="354" t="s">
        <v>122</v>
      </c>
      <c r="F24" s="355">
        <f>SUM(F26:F28)</f>
        <v>604.28189859337783</v>
      </c>
      <c r="G24" s="503"/>
      <c r="H24" s="356">
        <f>F24*G24</f>
        <v>0</v>
      </c>
      <c r="I24" s="332" t="s">
        <v>738</v>
      </c>
      <c r="J24" s="390"/>
      <c r="K24" s="391"/>
      <c r="L24" s="362"/>
      <c r="M24" s="362"/>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c r="AL24" s="313"/>
      <c r="AM24" s="313"/>
      <c r="AN24" s="313"/>
      <c r="AO24" s="313"/>
      <c r="AP24" s="313"/>
    </row>
    <row r="25" spans="1:125" s="314" customFormat="1" ht="13.5" customHeight="1">
      <c r="A25" s="352"/>
      <c r="B25" s="354"/>
      <c r="C25" s="354"/>
      <c r="D25" s="358" t="s">
        <v>332</v>
      </c>
      <c r="E25" s="354"/>
      <c r="F25" s="392"/>
      <c r="G25" s="356"/>
      <c r="H25" s="356"/>
      <c r="I25" s="360"/>
      <c r="J25" s="393"/>
      <c r="K25" s="313"/>
      <c r="L25" s="362"/>
      <c r="M25" s="362"/>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3"/>
      <c r="AL25" s="313"/>
      <c r="AM25" s="313"/>
      <c r="AN25" s="313"/>
      <c r="AO25" s="313"/>
      <c r="AP25" s="313"/>
    </row>
    <row r="26" spans="1:125" s="314" customFormat="1" ht="13.5" customHeight="1">
      <c r="A26" s="352"/>
      <c r="B26" s="354"/>
      <c r="C26" s="354"/>
      <c r="D26" s="358" t="s">
        <v>345</v>
      </c>
      <c r="E26" s="354"/>
      <c r="F26" s="392">
        <f>(19.6*5.9*2.55)+(2.95*13.8+(14.1*(5.9-2.95))/2)*2.55</f>
        <v>451.72612500000002</v>
      </c>
      <c r="G26" s="356"/>
      <c r="H26" s="356"/>
      <c r="I26" s="360"/>
      <c r="J26" s="393"/>
      <c r="K26" s="313"/>
      <c r="L26" s="362"/>
      <c r="M26" s="362"/>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3"/>
      <c r="AL26" s="313"/>
      <c r="AM26" s="313"/>
      <c r="AN26" s="313"/>
      <c r="AO26" s="313"/>
      <c r="AP26" s="313"/>
    </row>
    <row r="27" spans="1:125" s="314" customFormat="1" ht="13.5" customHeight="1">
      <c r="A27" s="352"/>
      <c r="B27" s="354"/>
      <c r="C27" s="354"/>
      <c r="D27" s="358" t="s">
        <v>340</v>
      </c>
      <c r="E27" s="354"/>
      <c r="F27" s="392">
        <f>(((0.75*5.9)/2)+0.16*5.9)*(19.6+13.8)</f>
        <v>105.42710000000002</v>
      </c>
      <c r="G27" s="356"/>
      <c r="H27" s="356"/>
      <c r="I27" s="360"/>
      <c r="J27" s="393"/>
      <c r="K27" s="313"/>
      <c r="L27" s="362"/>
      <c r="M27" s="362"/>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3"/>
      <c r="AL27" s="313"/>
      <c r="AM27" s="313"/>
      <c r="AN27" s="313"/>
      <c r="AO27" s="313"/>
      <c r="AP27" s="313"/>
    </row>
    <row r="28" spans="1:125" s="314" customFormat="1" ht="13.5" customHeight="1">
      <c r="A28" s="352"/>
      <c r="B28" s="354"/>
      <c r="C28" s="354"/>
      <c r="D28" s="358" t="s">
        <v>342</v>
      </c>
      <c r="E28" s="354"/>
      <c r="F28" s="392">
        <f>((6.4*33.9)/0.966749041)*0.21</f>
        <v>47.128673593377783</v>
      </c>
      <c r="G28" s="356"/>
      <c r="H28" s="356"/>
      <c r="I28" s="360"/>
      <c r="J28" s="394"/>
      <c r="K28" s="313"/>
      <c r="L28" s="362"/>
      <c r="M28" s="362"/>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3"/>
      <c r="AK28" s="313"/>
      <c r="AL28" s="313"/>
      <c r="AM28" s="313"/>
      <c r="AN28" s="313"/>
      <c r="AO28" s="313"/>
      <c r="AP28" s="313"/>
    </row>
    <row r="29" spans="1:125" s="314" customFormat="1" ht="94.5" customHeight="1">
      <c r="A29" s="395"/>
      <c r="B29" s="396"/>
      <c r="C29" s="397"/>
      <c r="D29" s="398" t="s">
        <v>443</v>
      </c>
      <c r="E29" s="397"/>
      <c r="F29" s="399"/>
      <c r="G29" s="400"/>
      <c r="H29" s="400"/>
      <c r="I29" s="401"/>
      <c r="J29" s="402"/>
      <c r="K29" s="313"/>
      <c r="L29" s="362"/>
      <c r="M29" s="362"/>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3"/>
      <c r="AK29" s="313"/>
      <c r="AL29" s="313"/>
      <c r="AM29" s="313"/>
      <c r="AN29" s="313"/>
      <c r="AO29" s="313"/>
      <c r="AP29" s="313"/>
    </row>
    <row r="30" spans="1:125" s="314" customFormat="1" ht="27" customHeight="1">
      <c r="A30" s="395"/>
      <c r="B30" s="396"/>
      <c r="C30" s="397"/>
      <c r="D30" s="403" t="s">
        <v>197</v>
      </c>
      <c r="E30" s="397"/>
      <c r="F30" s="399"/>
      <c r="G30" s="400"/>
      <c r="H30" s="400"/>
      <c r="I30" s="401"/>
      <c r="J30" s="404"/>
      <c r="K30" s="313"/>
      <c r="L30" s="362"/>
      <c r="M30" s="362"/>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3"/>
      <c r="AL30" s="313"/>
      <c r="AM30" s="313"/>
      <c r="AN30" s="313"/>
      <c r="AO30" s="313"/>
      <c r="AP30" s="313"/>
    </row>
    <row r="31" spans="1:125" s="314" customFormat="1" ht="13.5" customHeight="1">
      <c r="A31" s="405"/>
      <c r="B31" s="406"/>
      <c r="C31" s="407"/>
      <c r="D31" s="408" t="s">
        <v>341</v>
      </c>
      <c r="E31" s="407"/>
      <c r="F31" s="409"/>
      <c r="G31" s="400"/>
      <c r="H31" s="410"/>
      <c r="I31" s="401"/>
      <c r="J31" s="404"/>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3"/>
      <c r="AL31" s="313"/>
      <c r="AM31" s="313"/>
      <c r="AN31" s="313"/>
      <c r="AO31" s="313"/>
      <c r="AP31" s="313"/>
    </row>
    <row r="32" spans="1:125" s="314" customFormat="1" ht="135" customHeight="1">
      <c r="A32" s="395"/>
      <c r="B32" s="396"/>
      <c r="C32" s="397"/>
      <c r="D32" s="403" t="s">
        <v>361</v>
      </c>
      <c r="E32" s="397"/>
      <c r="F32" s="399"/>
      <c r="G32" s="400"/>
      <c r="H32" s="400"/>
      <c r="I32" s="401"/>
      <c r="J32" s="404"/>
      <c r="K32" s="389"/>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3"/>
      <c r="AL32" s="313"/>
      <c r="AM32" s="313"/>
      <c r="AN32" s="313"/>
      <c r="AO32" s="313"/>
      <c r="AP32" s="313"/>
    </row>
    <row r="33" spans="1:125" s="314" customFormat="1" ht="13.5" customHeight="1">
      <c r="A33" s="352">
        <v>6</v>
      </c>
      <c r="B33" s="330" t="s">
        <v>196</v>
      </c>
      <c r="C33" s="354">
        <v>981513114</v>
      </c>
      <c r="D33" s="354" t="s">
        <v>198</v>
      </c>
      <c r="E33" s="354" t="s">
        <v>122</v>
      </c>
      <c r="F33" s="355">
        <f>SUM(F34:F34)</f>
        <v>21.431324999999998</v>
      </c>
      <c r="G33" s="503"/>
      <c r="H33" s="356">
        <f>F33*G33</f>
        <v>0</v>
      </c>
      <c r="I33" s="332" t="s">
        <v>738</v>
      </c>
      <c r="J33" s="411"/>
      <c r="K33" s="313"/>
      <c r="L33" s="362"/>
      <c r="M33" s="362"/>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13"/>
      <c r="AL33" s="313"/>
      <c r="AM33" s="313"/>
      <c r="AN33" s="313"/>
      <c r="AO33" s="313"/>
      <c r="AP33" s="313"/>
    </row>
    <row r="34" spans="1:125" s="314" customFormat="1" ht="27" customHeight="1">
      <c r="A34" s="352"/>
      <c r="B34" s="354"/>
      <c r="C34" s="354"/>
      <c r="D34" s="358" t="s">
        <v>339</v>
      </c>
      <c r="E34" s="354"/>
      <c r="F34" s="392">
        <f>(19.15*5+13.35*2.1+((2.86*13.35)/2))*0.15</f>
        <v>21.431324999999998</v>
      </c>
      <c r="G34" s="356"/>
      <c r="H34" s="356"/>
      <c r="I34" s="360"/>
      <c r="J34" s="412"/>
      <c r="K34" s="313"/>
      <c r="L34" s="362"/>
      <c r="M34" s="362"/>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3"/>
      <c r="AL34" s="313"/>
      <c r="AM34" s="313"/>
      <c r="AN34" s="313"/>
      <c r="AO34" s="313"/>
      <c r="AP34" s="313"/>
    </row>
    <row r="35" spans="1:125" s="314" customFormat="1" ht="13.5" customHeight="1">
      <c r="A35" s="352">
        <v>7</v>
      </c>
      <c r="B35" s="330" t="s">
        <v>196</v>
      </c>
      <c r="C35" s="354">
        <v>981513116</v>
      </c>
      <c r="D35" s="354" t="s">
        <v>337</v>
      </c>
      <c r="E35" s="354" t="s">
        <v>122</v>
      </c>
      <c r="F35" s="355">
        <f>SUM(F36:F37)</f>
        <v>45.947499999999998</v>
      </c>
      <c r="G35" s="503"/>
      <c r="H35" s="356">
        <f>F35*G35</f>
        <v>0</v>
      </c>
      <c r="I35" s="332" t="s">
        <v>738</v>
      </c>
      <c r="J35" s="411"/>
      <c r="K35" s="313"/>
      <c r="L35" s="362"/>
      <c r="M35" s="362"/>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3"/>
      <c r="AL35" s="313"/>
      <c r="AM35" s="313"/>
      <c r="AN35" s="313"/>
      <c r="AO35" s="313"/>
      <c r="AP35" s="313"/>
    </row>
    <row r="36" spans="1:125" s="314" customFormat="1" ht="27" customHeight="1">
      <c r="A36" s="352"/>
      <c r="B36" s="354"/>
      <c r="C36" s="354"/>
      <c r="D36" s="358" t="s">
        <v>335</v>
      </c>
      <c r="E36" s="354"/>
      <c r="F36" s="392">
        <f>(5.4+33.4+2.5+19.6+14.1)*1.25*0.45</f>
        <v>42.1875</v>
      </c>
      <c r="G36" s="356"/>
      <c r="H36" s="356"/>
      <c r="I36" s="360"/>
      <c r="J36" s="376"/>
      <c r="K36" s="413"/>
      <c r="L36" s="362"/>
      <c r="M36" s="362"/>
      <c r="N36" s="413"/>
      <c r="O36" s="413"/>
      <c r="P36" s="413"/>
      <c r="Q36" s="313"/>
      <c r="R36" s="313"/>
      <c r="S36" s="313"/>
      <c r="T36" s="313"/>
      <c r="U36" s="313"/>
      <c r="V36" s="313"/>
      <c r="W36" s="313"/>
      <c r="X36" s="313"/>
      <c r="Y36" s="313"/>
      <c r="Z36" s="313"/>
      <c r="AA36" s="313"/>
      <c r="AB36" s="313"/>
      <c r="AC36" s="313"/>
      <c r="AD36" s="313"/>
      <c r="AE36" s="313"/>
      <c r="AF36" s="313"/>
      <c r="AG36" s="313"/>
      <c r="AH36" s="313"/>
      <c r="AI36" s="313"/>
      <c r="AJ36" s="313"/>
      <c r="AK36" s="313"/>
      <c r="AL36" s="313"/>
      <c r="AM36" s="313"/>
      <c r="AN36" s="313"/>
      <c r="AO36" s="313"/>
      <c r="AP36" s="313"/>
    </row>
    <row r="37" spans="1:125" s="314" customFormat="1" ht="27" customHeight="1">
      <c r="A37" s="323"/>
      <c r="B37" s="324"/>
      <c r="C37" s="324"/>
      <c r="D37" s="358" t="s">
        <v>336</v>
      </c>
      <c r="E37" s="354"/>
      <c r="F37" s="392">
        <f>(4.8*1*0.45)+(4*1*0.4)</f>
        <v>3.7600000000000002</v>
      </c>
      <c r="G37" s="326"/>
      <c r="H37" s="326"/>
      <c r="I37" s="414"/>
      <c r="J37" s="415"/>
      <c r="K37" s="413"/>
      <c r="L37" s="362"/>
      <c r="M37" s="413"/>
      <c r="N37" s="413"/>
      <c r="O37" s="413"/>
      <c r="P37" s="413"/>
      <c r="Q37" s="413"/>
      <c r="R37" s="413"/>
      <c r="S37" s="413"/>
      <c r="T37" s="413"/>
      <c r="U37" s="413"/>
      <c r="V37" s="413"/>
      <c r="W37" s="413"/>
      <c r="X37" s="313"/>
      <c r="Y37" s="313"/>
      <c r="Z37" s="313"/>
      <c r="AA37" s="313"/>
      <c r="AB37" s="313"/>
      <c r="AC37" s="313"/>
      <c r="AD37" s="313"/>
      <c r="AE37" s="313"/>
      <c r="AF37" s="313"/>
      <c r="AG37" s="313"/>
      <c r="AH37" s="313"/>
      <c r="AI37" s="313"/>
      <c r="AJ37" s="313"/>
      <c r="AK37" s="313"/>
      <c r="AL37" s="313"/>
      <c r="AM37" s="313"/>
      <c r="AN37" s="313"/>
      <c r="AO37" s="313"/>
      <c r="AP37" s="313"/>
    </row>
    <row r="38" spans="1:125" s="314" customFormat="1" ht="27" customHeight="1">
      <c r="A38" s="416">
        <v>8</v>
      </c>
      <c r="B38" s="353" t="s">
        <v>208</v>
      </c>
      <c r="C38" s="354" t="s">
        <v>202</v>
      </c>
      <c r="D38" s="354" t="s">
        <v>433</v>
      </c>
      <c r="E38" s="354" t="s">
        <v>98</v>
      </c>
      <c r="F38" s="355">
        <f>SUM(F40:F41)</f>
        <v>309.10000000000002</v>
      </c>
      <c r="G38" s="503"/>
      <c r="H38" s="356">
        <f>F38*G38</f>
        <v>0</v>
      </c>
      <c r="I38" s="417" t="s">
        <v>740</v>
      </c>
      <c r="J38" s="418"/>
      <c r="K38" s="419"/>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3"/>
      <c r="AL38" s="313"/>
      <c r="AM38" s="313"/>
      <c r="AN38" s="313"/>
      <c r="AO38" s="313"/>
      <c r="AP38" s="313"/>
    </row>
    <row r="39" spans="1:125" s="314" customFormat="1" ht="67.5" customHeight="1">
      <c r="A39" s="420"/>
      <c r="B39" s="354"/>
      <c r="C39" s="354"/>
      <c r="D39" s="421" t="s">
        <v>566</v>
      </c>
      <c r="E39" s="354"/>
      <c r="F39" s="392"/>
      <c r="G39" s="356"/>
      <c r="H39" s="356"/>
      <c r="I39" s="422"/>
      <c r="J39" s="418"/>
      <c r="K39" s="419"/>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3"/>
      <c r="AL39" s="313"/>
      <c r="AM39" s="313"/>
      <c r="AN39" s="313"/>
      <c r="AO39" s="313"/>
      <c r="AP39" s="313"/>
    </row>
    <row r="40" spans="1:125" s="432" customFormat="1" ht="13.5" customHeight="1">
      <c r="A40" s="423"/>
      <c r="B40" s="424"/>
      <c r="C40" s="425"/>
      <c r="D40" s="426" t="s">
        <v>434</v>
      </c>
      <c r="E40" s="427"/>
      <c r="F40" s="428">
        <f>16.47+17.66+16.47+16.47+16.47+16.9+14.18+15.3+21.22</f>
        <v>151.14000000000001</v>
      </c>
      <c r="G40" s="429"/>
      <c r="H40" s="429"/>
      <c r="I40" s="417"/>
      <c r="J40" s="430"/>
      <c r="K40" s="431"/>
      <c r="L40" s="431"/>
      <c r="M40" s="431"/>
      <c r="N40" s="431"/>
      <c r="O40" s="431"/>
      <c r="P40" s="431"/>
      <c r="Q40" s="431"/>
      <c r="R40" s="431"/>
      <c r="S40" s="431"/>
      <c r="T40" s="431"/>
      <c r="U40" s="431"/>
      <c r="V40" s="431"/>
      <c r="W40" s="431"/>
      <c r="X40" s="431"/>
      <c r="Y40" s="431"/>
      <c r="Z40" s="431"/>
      <c r="AA40" s="431"/>
      <c r="AB40" s="431"/>
      <c r="AC40" s="431"/>
      <c r="AD40" s="431"/>
      <c r="AE40" s="431"/>
      <c r="AF40" s="431"/>
      <c r="AG40" s="431"/>
      <c r="AH40" s="431"/>
      <c r="AI40" s="431"/>
      <c r="AJ40" s="431"/>
      <c r="AK40" s="431"/>
      <c r="AL40" s="431"/>
      <c r="AM40" s="431"/>
      <c r="AN40" s="431"/>
      <c r="AO40" s="431"/>
      <c r="AP40" s="431"/>
    </row>
    <row r="41" spans="1:125" s="432" customFormat="1" ht="13.5" customHeight="1">
      <c r="A41" s="423"/>
      <c r="B41" s="424"/>
      <c r="C41" s="425"/>
      <c r="D41" s="426" t="s">
        <v>435</v>
      </c>
      <c r="E41" s="427"/>
      <c r="F41" s="428">
        <f>157.96</f>
        <v>157.96</v>
      </c>
      <c r="G41" s="429"/>
      <c r="H41" s="429"/>
      <c r="I41" s="417"/>
      <c r="J41" s="430"/>
      <c r="K41" s="431"/>
      <c r="L41" s="431"/>
      <c r="M41" s="431"/>
      <c r="N41" s="431"/>
      <c r="O41" s="431"/>
      <c r="P41" s="431"/>
      <c r="Q41" s="431"/>
      <c r="R41" s="431"/>
      <c r="S41" s="431"/>
      <c r="T41" s="431"/>
      <c r="U41" s="431"/>
      <c r="V41" s="431"/>
      <c r="W41" s="431"/>
      <c r="X41" s="431"/>
      <c r="Y41" s="431"/>
      <c r="Z41" s="431"/>
      <c r="AA41" s="431"/>
      <c r="AB41" s="431"/>
      <c r="AC41" s="431"/>
      <c r="AD41" s="431"/>
      <c r="AE41" s="431"/>
      <c r="AF41" s="431"/>
      <c r="AG41" s="431"/>
      <c r="AH41" s="431"/>
      <c r="AI41" s="431"/>
      <c r="AJ41" s="431"/>
      <c r="AK41" s="431"/>
      <c r="AL41" s="431"/>
      <c r="AM41" s="431"/>
      <c r="AN41" s="431"/>
      <c r="AO41" s="431"/>
      <c r="AP41" s="431"/>
    </row>
    <row r="42" spans="1:125" s="314" customFormat="1" ht="67.5" customHeight="1">
      <c r="A42" s="352"/>
      <c r="B42" s="354"/>
      <c r="C42" s="354"/>
      <c r="D42" s="388" t="s">
        <v>195</v>
      </c>
      <c r="E42" s="354"/>
      <c r="F42" s="354"/>
      <c r="G42" s="356"/>
      <c r="H42" s="356"/>
      <c r="I42" s="332"/>
      <c r="J42" s="43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3"/>
      <c r="AL42" s="313"/>
      <c r="AM42" s="313"/>
      <c r="AN42" s="313"/>
      <c r="AO42" s="313"/>
      <c r="AP42" s="313"/>
    </row>
    <row r="43" spans="1:125" s="335" customFormat="1" ht="13.5" customHeight="1">
      <c r="A43" s="434">
        <v>9</v>
      </c>
      <c r="B43" s="424" t="s">
        <v>133</v>
      </c>
      <c r="C43" s="427" t="s">
        <v>199</v>
      </c>
      <c r="D43" s="435" t="s">
        <v>630</v>
      </c>
      <c r="E43" s="435" t="s">
        <v>125</v>
      </c>
      <c r="F43" s="436">
        <f>F44</f>
        <v>96.685000000000002</v>
      </c>
      <c r="G43" s="437">
        <f>SUM(H45:H47)/F43</f>
        <v>0</v>
      </c>
      <c r="H43" s="437">
        <f>F43*G43</f>
        <v>0</v>
      </c>
      <c r="I43" s="332" t="s">
        <v>739</v>
      </c>
      <c r="J43" s="438"/>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3"/>
      <c r="AL43" s="333"/>
      <c r="AM43" s="333"/>
      <c r="AN43" s="333"/>
      <c r="AO43" s="333"/>
      <c r="AP43" s="333"/>
      <c r="AQ43" s="333"/>
      <c r="AR43" s="333"/>
      <c r="AS43" s="333"/>
      <c r="AT43" s="333"/>
      <c r="AU43" s="333"/>
      <c r="AV43" s="333"/>
      <c r="AW43" s="333"/>
      <c r="AX43" s="333"/>
      <c r="AY43" s="333"/>
      <c r="AZ43" s="333"/>
      <c r="BA43" s="333"/>
      <c r="BB43" s="333"/>
      <c r="BC43" s="333"/>
      <c r="BD43" s="333"/>
      <c r="BE43" s="333"/>
      <c r="BF43" s="333"/>
      <c r="BG43" s="333"/>
      <c r="BH43" s="333"/>
      <c r="BI43" s="333"/>
      <c r="BJ43" s="333"/>
      <c r="BK43" s="333"/>
      <c r="BL43" s="333"/>
      <c r="BM43" s="333"/>
      <c r="BN43" s="333"/>
      <c r="BO43" s="333"/>
      <c r="BP43" s="333"/>
      <c r="BQ43" s="333"/>
      <c r="BR43" s="333"/>
      <c r="BS43" s="333"/>
      <c r="BT43" s="333"/>
      <c r="BU43" s="333"/>
      <c r="BV43" s="333"/>
      <c r="BW43" s="333"/>
      <c r="BX43" s="333"/>
      <c r="BY43" s="333"/>
      <c r="BZ43" s="333"/>
      <c r="CA43" s="333"/>
      <c r="CB43" s="333"/>
      <c r="CC43" s="333"/>
      <c r="CD43" s="333"/>
      <c r="CE43" s="333"/>
      <c r="CF43" s="333"/>
      <c r="CG43" s="333"/>
      <c r="CH43" s="333"/>
      <c r="CI43" s="333"/>
      <c r="CJ43" s="333"/>
      <c r="CK43" s="333"/>
      <c r="CL43" s="333"/>
      <c r="CM43" s="333"/>
      <c r="CN43" s="333"/>
      <c r="CO43" s="333"/>
      <c r="CP43" s="333"/>
      <c r="CQ43" s="333"/>
      <c r="CR43" s="333"/>
      <c r="CS43" s="333"/>
      <c r="CT43" s="333"/>
      <c r="CU43" s="333"/>
      <c r="CV43" s="333"/>
      <c r="CW43" s="333"/>
      <c r="CX43" s="333"/>
      <c r="CY43" s="333"/>
      <c r="CZ43" s="333"/>
      <c r="DA43" s="333"/>
      <c r="DB43" s="333"/>
      <c r="DC43" s="333"/>
      <c r="DD43" s="333"/>
      <c r="DE43" s="333"/>
      <c r="DF43" s="333"/>
      <c r="DG43" s="333"/>
      <c r="DH43" s="333"/>
      <c r="DI43" s="333"/>
      <c r="DJ43" s="333"/>
      <c r="DK43" s="333"/>
      <c r="DL43" s="333"/>
      <c r="DM43" s="333"/>
      <c r="DN43" s="333"/>
      <c r="DO43" s="333"/>
      <c r="DP43" s="333"/>
      <c r="DQ43" s="333"/>
      <c r="DR43" s="333"/>
      <c r="DS43" s="333"/>
      <c r="DT43" s="333"/>
      <c r="DU43" s="333"/>
    </row>
    <row r="44" spans="1:125" s="335" customFormat="1" ht="13.5" customHeight="1">
      <c r="A44" s="379"/>
      <c r="B44" s="85"/>
      <c r="C44" s="85"/>
      <c r="D44" s="117" t="s">
        <v>429</v>
      </c>
      <c r="E44" s="439"/>
      <c r="F44" s="337">
        <f>96.685</f>
        <v>96.685000000000002</v>
      </c>
      <c r="G44" s="440"/>
      <c r="H44" s="440"/>
      <c r="I44" s="441"/>
      <c r="J44" s="333"/>
      <c r="K44" s="333"/>
      <c r="L44" s="442"/>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3"/>
      <c r="AL44" s="333"/>
      <c r="AM44" s="333"/>
      <c r="AN44" s="333"/>
      <c r="AO44" s="333"/>
      <c r="AP44" s="333"/>
      <c r="AQ44" s="333"/>
      <c r="AR44" s="333"/>
      <c r="AS44" s="333"/>
      <c r="AT44" s="333"/>
      <c r="AU44" s="333"/>
      <c r="AV44" s="333"/>
      <c r="AW44" s="333"/>
      <c r="AX44" s="333"/>
      <c r="AY44" s="333"/>
      <c r="AZ44" s="333"/>
      <c r="BA44" s="333"/>
      <c r="BB44" s="333"/>
      <c r="BC44" s="333"/>
      <c r="BD44" s="333"/>
      <c r="BE44" s="333"/>
      <c r="BF44" s="333"/>
      <c r="BG44" s="333"/>
      <c r="BH44" s="333"/>
      <c r="BI44" s="333"/>
      <c r="BJ44" s="333"/>
      <c r="BK44" s="333"/>
      <c r="BL44" s="333"/>
      <c r="BM44" s="333"/>
      <c r="BN44" s="333"/>
      <c r="BO44" s="333"/>
      <c r="BP44" s="333"/>
      <c r="BQ44" s="333"/>
      <c r="BR44" s="333"/>
      <c r="BS44" s="333"/>
      <c r="BT44" s="333"/>
      <c r="BU44" s="333"/>
      <c r="BV44" s="333"/>
      <c r="BW44" s="333"/>
      <c r="BX44" s="333"/>
      <c r="BY44" s="333"/>
      <c r="BZ44" s="333"/>
      <c r="CA44" s="333"/>
      <c r="CB44" s="333"/>
      <c r="CC44" s="333"/>
      <c r="CD44" s="333"/>
      <c r="CE44" s="333"/>
      <c r="CF44" s="333"/>
      <c r="CG44" s="333"/>
      <c r="CH44" s="333"/>
      <c r="CI44" s="333"/>
      <c r="CJ44" s="333"/>
      <c r="CK44" s="333"/>
      <c r="CL44" s="333"/>
      <c r="CM44" s="333"/>
      <c r="CN44" s="333"/>
      <c r="CO44" s="333"/>
      <c r="CP44" s="333"/>
      <c r="CQ44" s="333"/>
      <c r="CR44" s="333"/>
      <c r="CS44" s="333"/>
      <c r="CT44" s="333"/>
      <c r="CU44" s="333"/>
      <c r="CV44" s="333"/>
      <c r="CW44" s="333"/>
      <c r="CX44" s="333"/>
      <c r="CY44" s="333"/>
      <c r="CZ44" s="333"/>
      <c r="DA44" s="333"/>
      <c r="DB44" s="333"/>
      <c r="DC44" s="333"/>
      <c r="DD44" s="333"/>
      <c r="DE44" s="333"/>
      <c r="DF44" s="333"/>
      <c r="DG44" s="333"/>
      <c r="DH44" s="333"/>
      <c r="DI44" s="333"/>
      <c r="DJ44" s="333"/>
      <c r="DK44" s="333"/>
      <c r="DL44" s="333"/>
      <c r="DM44" s="333"/>
      <c r="DN44" s="333"/>
      <c r="DO44" s="333"/>
      <c r="DP44" s="333"/>
      <c r="DQ44" s="333"/>
      <c r="DR44" s="333"/>
      <c r="DS44" s="333"/>
      <c r="DT44" s="333"/>
      <c r="DU44" s="333"/>
    </row>
    <row r="45" spans="1:125" s="335" customFormat="1" ht="13.5" customHeight="1">
      <c r="A45" s="443" t="s">
        <v>436</v>
      </c>
      <c r="B45" s="444"/>
      <c r="C45" s="445">
        <v>997006512</v>
      </c>
      <c r="D45" s="358" t="s">
        <v>188</v>
      </c>
      <c r="E45" s="446" t="s">
        <v>125</v>
      </c>
      <c r="F45" s="447">
        <f>F43</f>
        <v>96.685000000000002</v>
      </c>
      <c r="G45" s="81"/>
      <c r="H45" s="448">
        <f>F45*G45</f>
        <v>0</v>
      </c>
      <c r="I45" s="449" t="s">
        <v>738</v>
      </c>
      <c r="J45" s="450"/>
      <c r="K45" s="451"/>
      <c r="L45" s="451"/>
      <c r="M45" s="451"/>
      <c r="N45" s="451"/>
      <c r="O45" s="451"/>
      <c r="P45" s="451"/>
      <c r="Q45" s="452"/>
      <c r="R45" s="452"/>
      <c r="S45" s="453"/>
      <c r="T45" s="333"/>
      <c r="U45" s="333"/>
      <c r="V45" s="333"/>
      <c r="W45" s="333"/>
      <c r="X45" s="333"/>
      <c r="Y45" s="333"/>
      <c r="Z45" s="333"/>
      <c r="AA45" s="333"/>
      <c r="AB45" s="333"/>
      <c r="AC45" s="333"/>
      <c r="AD45" s="333"/>
      <c r="AE45" s="333"/>
      <c r="AF45" s="333"/>
      <c r="AG45" s="333"/>
      <c r="AH45" s="333"/>
      <c r="AI45" s="333"/>
      <c r="AJ45" s="333"/>
      <c r="AK45" s="333"/>
      <c r="AL45" s="333"/>
      <c r="AM45" s="333"/>
      <c r="AN45" s="333"/>
      <c r="AO45" s="333"/>
      <c r="AP45" s="333"/>
      <c r="AQ45" s="333"/>
      <c r="AR45" s="333"/>
      <c r="AS45" s="333"/>
      <c r="AT45" s="333"/>
      <c r="AU45" s="333"/>
      <c r="AV45" s="333"/>
      <c r="AW45" s="333"/>
      <c r="AX45" s="333"/>
      <c r="AY45" s="333"/>
      <c r="AZ45" s="333"/>
      <c r="BA45" s="333"/>
      <c r="BB45" s="333"/>
      <c r="BC45" s="333"/>
      <c r="BD45" s="333"/>
      <c r="BE45" s="333"/>
      <c r="BF45" s="333"/>
      <c r="BG45" s="333"/>
      <c r="BH45" s="333"/>
      <c r="BI45" s="333"/>
      <c r="BJ45" s="333"/>
      <c r="BK45" s="333"/>
      <c r="BL45" s="333"/>
      <c r="BM45" s="333"/>
      <c r="BN45" s="333"/>
      <c r="BO45" s="333"/>
      <c r="BP45" s="333"/>
      <c r="BQ45" s="333"/>
      <c r="BR45" s="333"/>
      <c r="BS45" s="333"/>
      <c r="BT45" s="333"/>
      <c r="BU45" s="333"/>
      <c r="BV45" s="333"/>
      <c r="BW45" s="333"/>
      <c r="BX45" s="333"/>
      <c r="BY45" s="333"/>
      <c r="BZ45" s="333"/>
      <c r="CA45" s="333"/>
      <c r="CB45" s="333"/>
      <c r="CC45" s="333"/>
      <c r="CD45" s="333"/>
      <c r="CE45" s="333"/>
      <c r="CF45" s="333"/>
      <c r="CG45" s="333"/>
      <c r="CH45" s="333"/>
      <c r="CI45" s="333"/>
      <c r="CJ45" s="333"/>
      <c r="CK45" s="333"/>
      <c r="CL45" s="333"/>
      <c r="CM45" s="333"/>
      <c r="CN45" s="333"/>
      <c r="CO45" s="333"/>
      <c r="CP45" s="333"/>
      <c r="CQ45" s="333"/>
      <c r="CR45" s="333"/>
      <c r="CS45" s="333"/>
      <c r="CT45" s="333"/>
      <c r="CU45" s="333"/>
      <c r="CV45" s="333"/>
      <c r="CW45" s="333"/>
      <c r="CX45" s="333"/>
      <c r="CY45" s="333"/>
      <c r="CZ45" s="333"/>
      <c r="DA45" s="333"/>
      <c r="DB45" s="333"/>
      <c r="DC45" s="333"/>
      <c r="DD45" s="333"/>
      <c r="DE45" s="333"/>
      <c r="DF45" s="333"/>
      <c r="DG45" s="333"/>
      <c r="DH45" s="333"/>
      <c r="DI45" s="333"/>
      <c r="DJ45" s="333"/>
      <c r="DK45" s="333"/>
      <c r="DL45" s="333"/>
      <c r="DM45" s="333"/>
      <c r="DN45" s="333"/>
      <c r="DO45" s="333"/>
      <c r="DP45" s="333"/>
      <c r="DQ45" s="333"/>
      <c r="DR45" s="333"/>
      <c r="DS45" s="333"/>
      <c r="DT45" s="333"/>
      <c r="DU45" s="333"/>
    </row>
    <row r="46" spans="1:125" s="335" customFormat="1" ht="27" customHeight="1">
      <c r="A46" s="443" t="s">
        <v>437</v>
      </c>
      <c r="B46" s="444"/>
      <c r="C46" s="445">
        <v>997006519</v>
      </c>
      <c r="D46" s="358" t="s">
        <v>189</v>
      </c>
      <c r="E46" s="446" t="s">
        <v>125</v>
      </c>
      <c r="F46" s="447">
        <f>F43*5</f>
        <v>483.42500000000001</v>
      </c>
      <c r="G46" s="81"/>
      <c r="H46" s="448">
        <f>F46*G46</f>
        <v>0</v>
      </c>
      <c r="I46" s="449" t="s">
        <v>738</v>
      </c>
      <c r="J46" s="450"/>
      <c r="K46" s="451"/>
      <c r="L46" s="451"/>
      <c r="M46" s="451"/>
      <c r="N46" s="451"/>
      <c r="O46" s="451"/>
      <c r="P46" s="451"/>
      <c r="Q46" s="452"/>
      <c r="R46" s="452"/>
      <c r="S46" s="453"/>
      <c r="T46" s="333"/>
      <c r="U46" s="333"/>
      <c r="V46" s="333"/>
      <c r="W46" s="333"/>
      <c r="X46" s="333"/>
      <c r="Y46" s="333"/>
      <c r="Z46" s="333"/>
      <c r="AA46" s="333"/>
      <c r="AB46" s="333"/>
      <c r="AC46" s="333"/>
      <c r="AD46" s="333"/>
      <c r="AE46" s="333"/>
      <c r="AF46" s="333"/>
      <c r="AG46" s="333"/>
      <c r="AH46" s="333"/>
      <c r="AI46" s="333"/>
      <c r="AJ46" s="333"/>
      <c r="AK46" s="333"/>
      <c r="AL46" s="333"/>
      <c r="AM46" s="333"/>
      <c r="AN46" s="333"/>
      <c r="AO46" s="333"/>
      <c r="AP46" s="333"/>
      <c r="AQ46" s="333"/>
      <c r="AR46" s="333"/>
      <c r="AS46" s="333"/>
      <c r="AT46" s="333"/>
      <c r="AU46" s="333"/>
      <c r="AV46" s="333"/>
      <c r="AW46" s="333"/>
      <c r="AX46" s="333"/>
      <c r="AY46" s="333"/>
      <c r="AZ46" s="333"/>
      <c r="BA46" s="333"/>
      <c r="BB46" s="333"/>
      <c r="BC46" s="333"/>
      <c r="BD46" s="333"/>
      <c r="BE46" s="333"/>
      <c r="BF46" s="333"/>
      <c r="BG46" s="333"/>
      <c r="BH46" s="333"/>
      <c r="BI46" s="333"/>
      <c r="BJ46" s="333"/>
      <c r="BK46" s="333"/>
      <c r="BL46" s="333"/>
      <c r="BM46" s="333"/>
      <c r="BN46" s="333"/>
      <c r="BO46" s="333"/>
      <c r="BP46" s="333"/>
      <c r="BQ46" s="333"/>
      <c r="BR46" s="333"/>
      <c r="BS46" s="333"/>
      <c r="BT46" s="333"/>
      <c r="BU46" s="333"/>
      <c r="BV46" s="333"/>
      <c r="BW46" s="333"/>
      <c r="BX46" s="333"/>
      <c r="BY46" s="333"/>
      <c r="BZ46" s="333"/>
      <c r="CA46" s="333"/>
      <c r="CB46" s="333"/>
      <c r="CC46" s="333"/>
      <c r="CD46" s="333"/>
      <c r="CE46" s="333"/>
      <c r="CF46" s="333"/>
      <c r="CG46" s="333"/>
      <c r="CH46" s="333"/>
      <c r="CI46" s="333"/>
      <c r="CJ46" s="333"/>
      <c r="CK46" s="333"/>
      <c r="CL46" s="333"/>
      <c r="CM46" s="333"/>
      <c r="CN46" s="333"/>
      <c r="CO46" s="333"/>
      <c r="CP46" s="333"/>
      <c r="CQ46" s="333"/>
      <c r="CR46" s="333"/>
      <c r="CS46" s="333"/>
      <c r="CT46" s="333"/>
      <c r="CU46" s="333"/>
      <c r="CV46" s="333"/>
      <c r="CW46" s="333"/>
      <c r="CX46" s="333"/>
      <c r="CY46" s="333"/>
      <c r="CZ46" s="333"/>
      <c r="DA46" s="333"/>
      <c r="DB46" s="333"/>
      <c r="DC46" s="333"/>
      <c r="DD46" s="333"/>
      <c r="DE46" s="333"/>
      <c r="DF46" s="333"/>
      <c r="DG46" s="333"/>
      <c r="DH46" s="333"/>
      <c r="DI46" s="333"/>
      <c r="DJ46" s="333"/>
      <c r="DK46" s="333"/>
      <c r="DL46" s="333"/>
      <c r="DM46" s="333"/>
      <c r="DN46" s="333"/>
      <c r="DO46" s="333"/>
      <c r="DP46" s="333"/>
      <c r="DQ46" s="333"/>
      <c r="DR46" s="333"/>
      <c r="DS46" s="333"/>
      <c r="DT46" s="333"/>
      <c r="DU46" s="333"/>
    </row>
    <row r="47" spans="1:125" s="335" customFormat="1" ht="27" customHeight="1">
      <c r="A47" s="443" t="s">
        <v>438</v>
      </c>
      <c r="B47" s="444"/>
      <c r="C47" s="445">
        <v>997013631</v>
      </c>
      <c r="D47" s="358" t="s">
        <v>200</v>
      </c>
      <c r="E47" s="446" t="s">
        <v>125</v>
      </c>
      <c r="F47" s="447">
        <f>F44</f>
        <v>96.685000000000002</v>
      </c>
      <c r="G47" s="81"/>
      <c r="H47" s="448">
        <f>F47*G47</f>
        <v>0</v>
      </c>
      <c r="I47" s="449" t="s">
        <v>738</v>
      </c>
      <c r="J47" s="450"/>
      <c r="K47" s="451"/>
      <c r="L47" s="451"/>
      <c r="M47" s="451"/>
      <c r="N47" s="451"/>
      <c r="O47" s="451"/>
      <c r="P47" s="451"/>
      <c r="Q47" s="452"/>
      <c r="R47" s="452"/>
      <c r="S47" s="450"/>
      <c r="T47" s="333"/>
      <c r="U47" s="333"/>
      <c r="V47" s="333"/>
      <c r="W47" s="333"/>
      <c r="X47" s="333"/>
      <c r="Y47" s="333"/>
      <c r="Z47" s="333"/>
      <c r="AA47" s="333"/>
      <c r="AB47" s="333"/>
      <c r="AC47" s="333"/>
      <c r="AD47" s="333"/>
      <c r="AE47" s="333"/>
      <c r="AF47" s="333"/>
      <c r="AG47" s="333"/>
      <c r="AH47" s="333"/>
      <c r="AI47" s="333"/>
      <c r="AJ47" s="333"/>
      <c r="AK47" s="333"/>
      <c r="AL47" s="333"/>
      <c r="AM47" s="333"/>
      <c r="AN47" s="333"/>
      <c r="AO47" s="333"/>
      <c r="AP47" s="333"/>
      <c r="AQ47" s="333"/>
      <c r="AR47" s="333"/>
      <c r="AS47" s="333"/>
      <c r="AT47" s="333"/>
      <c r="AU47" s="333"/>
      <c r="AV47" s="333"/>
      <c r="AW47" s="333"/>
      <c r="AX47" s="333"/>
      <c r="AY47" s="333"/>
      <c r="AZ47" s="333"/>
      <c r="BA47" s="333"/>
      <c r="BB47" s="333"/>
      <c r="BC47" s="333"/>
      <c r="BD47" s="333"/>
      <c r="BE47" s="333"/>
      <c r="BF47" s="333"/>
      <c r="BG47" s="333"/>
      <c r="BH47" s="333"/>
      <c r="BI47" s="333"/>
      <c r="BJ47" s="333"/>
      <c r="BK47" s="333"/>
      <c r="BL47" s="333"/>
      <c r="BM47" s="333"/>
      <c r="BN47" s="333"/>
      <c r="BO47" s="333"/>
      <c r="BP47" s="333"/>
      <c r="BQ47" s="333"/>
      <c r="BR47" s="333"/>
      <c r="BS47" s="333"/>
      <c r="BT47" s="333"/>
      <c r="BU47" s="333"/>
      <c r="BV47" s="333"/>
      <c r="BW47" s="333"/>
      <c r="BX47" s="333"/>
      <c r="BY47" s="333"/>
      <c r="BZ47" s="333"/>
      <c r="CA47" s="333"/>
      <c r="CB47" s="333"/>
      <c r="CC47" s="333"/>
      <c r="CD47" s="333"/>
      <c r="CE47" s="333"/>
      <c r="CF47" s="333"/>
      <c r="CG47" s="333"/>
      <c r="CH47" s="333"/>
      <c r="CI47" s="333"/>
      <c r="CJ47" s="333"/>
      <c r="CK47" s="333"/>
      <c r="CL47" s="333"/>
      <c r="CM47" s="333"/>
      <c r="CN47" s="333"/>
      <c r="CO47" s="333"/>
      <c r="CP47" s="333"/>
      <c r="CQ47" s="333"/>
      <c r="CR47" s="333"/>
      <c r="CS47" s="333"/>
      <c r="CT47" s="333"/>
      <c r="CU47" s="333"/>
      <c r="CV47" s="333"/>
      <c r="CW47" s="333"/>
      <c r="CX47" s="333"/>
      <c r="CY47" s="333"/>
      <c r="CZ47" s="333"/>
      <c r="DA47" s="333"/>
      <c r="DB47" s="333"/>
      <c r="DC47" s="333"/>
      <c r="DD47" s="333"/>
      <c r="DE47" s="333"/>
      <c r="DF47" s="333"/>
      <c r="DG47" s="333"/>
      <c r="DH47" s="333"/>
      <c r="DI47" s="333"/>
      <c r="DJ47" s="333"/>
      <c r="DK47" s="333"/>
      <c r="DL47" s="333"/>
      <c r="DM47" s="333"/>
      <c r="DN47" s="333"/>
      <c r="DO47" s="333"/>
      <c r="DP47" s="333"/>
      <c r="DQ47" s="333"/>
      <c r="DR47" s="333"/>
      <c r="DS47" s="333"/>
      <c r="DT47" s="333"/>
      <c r="DU47" s="333"/>
    </row>
    <row r="48" spans="1:125" s="335" customFormat="1" ht="67.5" customHeight="1">
      <c r="A48" s="454"/>
      <c r="B48" s="444"/>
      <c r="C48" s="455"/>
      <c r="D48" s="388" t="s">
        <v>195</v>
      </c>
      <c r="E48" s="456"/>
      <c r="F48" s="447"/>
      <c r="G48" s="457"/>
      <c r="H48" s="437"/>
      <c r="I48" s="458"/>
      <c r="J48" s="459"/>
      <c r="K48" s="452"/>
      <c r="L48" s="460"/>
      <c r="M48" s="460"/>
      <c r="N48" s="460"/>
      <c r="O48" s="452"/>
      <c r="P48" s="452"/>
      <c r="Q48" s="452"/>
      <c r="R48" s="452"/>
      <c r="S48" s="461"/>
      <c r="T48" s="462"/>
      <c r="U48" s="333"/>
      <c r="V48" s="333"/>
      <c r="W48" s="333"/>
      <c r="X48" s="333"/>
      <c r="Y48" s="333"/>
      <c r="Z48" s="333"/>
      <c r="AA48" s="333"/>
      <c r="AB48" s="333"/>
      <c r="AC48" s="333"/>
      <c r="AD48" s="333"/>
      <c r="AE48" s="333"/>
      <c r="AF48" s="333"/>
      <c r="AG48" s="333"/>
      <c r="AH48" s="333"/>
      <c r="AI48" s="333"/>
      <c r="AJ48" s="333"/>
      <c r="AK48" s="333"/>
      <c r="AL48" s="333"/>
      <c r="AM48" s="333"/>
      <c r="AN48" s="333"/>
      <c r="AO48" s="333"/>
      <c r="AP48" s="333"/>
      <c r="AQ48" s="333"/>
      <c r="AR48" s="333"/>
      <c r="AS48" s="333"/>
      <c r="AT48" s="333"/>
      <c r="AU48" s="333"/>
      <c r="AV48" s="333"/>
      <c r="AW48" s="333"/>
      <c r="AX48" s="333"/>
      <c r="AY48" s="333"/>
      <c r="AZ48" s="333"/>
      <c r="BA48" s="333"/>
      <c r="BB48" s="333"/>
      <c r="BC48" s="333"/>
      <c r="BD48" s="333"/>
      <c r="BE48" s="333"/>
      <c r="BF48" s="333"/>
      <c r="BG48" s="333"/>
      <c r="BH48" s="333"/>
      <c r="BI48" s="333"/>
      <c r="BJ48" s="333"/>
      <c r="BK48" s="333"/>
      <c r="BL48" s="333"/>
      <c r="BM48" s="333"/>
      <c r="BN48" s="333"/>
      <c r="BO48" s="333"/>
      <c r="BP48" s="333"/>
      <c r="BQ48" s="333"/>
      <c r="BR48" s="333"/>
      <c r="BS48" s="333"/>
      <c r="BT48" s="333"/>
      <c r="BU48" s="333"/>
      <c r="BV48" s="333"/>
      <c r="BW48" s="333"/>
      <c r="BX48" s="333"/>
      <c r="BY48" s="333"/>
      <c r="BZ48" s="333"/>
      <c r="CA48" s="333"/>
      <c r="CB48" s="333"/>
      <c r="CC48" s="333"/>
      <c r="CD48" s="333"/>
      <c r="CE48" s="333"/>
      <c r="CF48" s="333"/>
      <c r="CG48" s="333"/>
      <c r="CH48" s="333"/>
      <c r="CI48" s="333"/>
      <c r="CJ48" s="333"/>
      <c r="CK48" s="333"/>
      <c r="CL48" s="333"/>
      <c r="CM48" s="333"/>
      <c r="CN48" s="333"/>
      <c r="CO48" s="333"/>
      <c r="CP48" s="333"/>
      <c r="CQ48" s="333"/>
      <c r="CR48" s="333"/>
      <c r="CS48" s="333"/>
      <c r="CT48" s="333"/>
      <c r="CU48" s="333"/>
      <c r="CV48" s="333"/>
      <c r="CW48" s="333"/>
      <c r="CX48" s="333"/>
      <c r="CY48" s="333"/>
      <c r="CZ48" s="333"/>
      <c r="DA48" s="333"/>
      <c r="DB48" s="333"/>
      <c r="DC48" s="333"/>
      <c r="DD48" s="333"/>
      <c r="DE48" s="333"/>
      <c r="DF48" s="333"/>
      <c r="DG48" s="333"/>
      <c r="DH48" s="333"/>
      <c r="DI48" s="333"/>
      <c r="DJ48" s="333"/>
      <c r="DK48" s="333"/>
      <c r="DL48" s="333"/>
      <c r="DM48" s="333"/>
      <c r="DN48" s="333"/>
      <c r="DO48" s="333"/>
      <c r="DP48" s="333"/>
      <c r="DQ48" s="333"/>
      <c r="DR48" s="333"/>
      <c r="DS48" s="333"/>
      <c r="DT48" s="333"/>
      <c r="DU48" s="333"/>
    </row>
    <row r="49" spans="1:125" s="335" customFormat="1" ht="27" customHeight="1">
      <c r="A49" s="434">
        <v>10</v>
      </c>
      <c r="B49" s="424" t="s">
        <v>133</v>
      </c>
      <c r="C49" s="427" t="s">
        <v>186</v>
      </c>
      <c r="D49" s="435" t="s">
        <v>631</v>
      </c>
      <c r="E49" s="435" t="s">
        <v>125</v>
      </c>
      <c r="F49" s="436">
        <f>F50</f>
        <v>155.73599999999999</v>
      </c>
      <c r="G49" s="437">
        <f>SUM(H51:H54)/F49</f>
        <v>0</v>
      </c>
      <c r="H49" s="437">
        <f>F49*G49</f>
        <v>0</v>
      </c>
      <c r="I49" s="332" t="s">
        <v>739</v>
      </c>
      <c r="J49" s="459"/>
      <c r="K49" s="452"/>
      <c r="L49" s="452"/>
      <c r="M49" s="452"/>
      <c r="N49" s="452"/>
      <c r="O49" s="452"/>
      <c r="P49" s="452"/>
      <c r="Q49" s="452"/>
      <c r="R49" s="452"/>
      <c r="S49" s="452"/>
      <c r="T49" s="333"/>
      <c r="U49" s="333"/>
      <c r="V49" s="333"/>
      <c r="W49" s="333"/>
      <c r="X49" s="333"/>
      <c r="Y49" s="333"/>
      <c r="Z49" s="333"/>
      <c r="AA49" s="333"/>
      <c r="AB49" s="333"/>
      <c r="AC49" s="333"/>
      <c r="AD49" s="333"/>
      <c r="AE49" s="333"/>
      <c r="AF49" s="333"/>
      <c r="AG49" s="333"/>
      <c r="AH49" s="333"/>
      <c r="AI49" s="333"/>
      <c r="AJ49" s="333"/>
      <c r="AK49" s="333"/>
      <c r="AL49" s="333"/>
      <c r="AM49" s="333"/>
      <c r="AN49" s="333"/>
      <c r="AO49" s="333"/>
      <c r="AP49" s="333"/>
      <c r="AQ49" s="333"/>
      <c r="AR49" s="333"/>
      <c r="AS49" s="333"/>
      <c r="AT49" s="333"/>
      <c r="AU49" s="333"/>
      <c r="AV49" s="333"/>
      <c r="AW49" s="333"/>
      <c r="AX49" s="333"/>
      <c r="AY49" s="333"/>
      <c r="AZ49" s="333"/>
      <c r="BA49" s="333"/>
      <c r="BB49" s="333"/>
      <c r="BC49" s="333"/>
      <c r="BD49" s="333"/>
      <c r="BE49" s="333"/>
      <c r="BF49" s="333"/>
      <c r="BG49" s="333"/>
      <c r="BH49" s="333"/>
      <c r="BI49" s="333"/>
      <c r="BJ49" s="333"/>
      <c r="BK49" s="333"/>
      <c r="BL49" s="333"/>
      <c r="BM49" s="333"/>
      <c r="BN49" s="333"/>
      <c r="BO49" s="333"/>
      <c r="BP49" s="333"/>
      <c r="BQ49" s="333"/>
      <c r="BR49" s="333"/>
      <c r="BS49" s="333"/>
      <c r="BT49" s="333"/>
      <c r="BU49" s="333"/>
      <c r="BV49" s="333"/>
      <c r="BW49" s="333"/>
      <c r="BX49" s="333"/>
      <c r="BY49" s="333"/>
      <c r="BZ49" s="333"/>
      <c r="CA49" s="333"/>
      <c r="CB49" s="333"/>
      <c r="CC49" s="333"/>
      <c r="CD49" s="333"/>
      <c r="CE49" s="333"/>
      <c r="CF49" s="333"/>
      <c r="CG49" s="333"/>
      <c r="CH49" s="333"/>
      <c r="CI49" s="333"/>
      <c r="CJ49" s="333"/>
      <c r="CK49" s="333"/>
      <c r="CL49" s="333"/>
      <c r="CM49" s="333"/>
      <c r="CN49" s="333"/>
      <c r="CO49" s="333"/>
      <c r="CP49" s="333"/>
      <c r="CQ49" s="333"/>
      <c r="CR49" s="333"/>
      <c r="CS49" s="333"/>
      <c r="CT49" s="333"/>
      <c r="CU49" s="333"/>
      <c r="CV49" s="333"/>
      <c r="CW49" s="333"/>
      <c r="CX49" s="333"/>
      <c r="CY49" s="333"/>
      <c r="CZ49" s="333"/>
      <c r="DA49" s="333"/>
      <c r="DB49" s="333"/>
      <c r="DC49" s="333"/>
      <c r="DD49" s="333"/>
      <c r="DE49" s="333"/>
      <c r="DF49" s="333"/>
      <c r="DG49" s="333"/>
      <c r="DH49" s="333"/>
      <c r="DI49" s="333"/>
      <c r="DJ49" s="333"/>
      <c r="DK49" s="333"/>
      <c r="DL49" s="333"/>
      <c r="DM49" s="333"/>
      <c r="DN49" s="333"/>
      <c r="DO49" s="333"/>
      <c r="DP49" s="333"/>
      <c r="DQ49" s="333"/>
      <c r="DR49" s="333"/>
      <c r="DS49" s="333"/>
      <c r="DT49" s="333"/>
      <c r="DU49" s="333"/>
    </row>
    <row r="50" spans="1:125" s="335" customFormat="1" ht="13.5" customHeight="1">
      <c r="A50" s="379"/>
      <c r="B50" s="85"/>
      <c r="C50" s="85"/>
      <c r="D50" s="117" t="s">
        <v>430</v>
      </c>
      <c r="E50" s="439"/>
      <c r="F50" s="337">
        <f>(54.646)+(101.09)</f>
        <v>155.73599999999999</v>
      </c>
      <c r="G50" s="440"/>
      <c r="H50" s="440"/>
      <c r="I50" s="441"/>
      <c r="J50" s="463"/>
      <c r="K50" s="452"/>
      <c r="L50" s="464"/>
      <c r="M50" s="452"/>
      <c r="N50" s="452"/>
      <c r="O50" s="452"/>
      <c r="P50" s="452"/>
      <c r="Q50" s="452"/>
      <c r="R50" s="452"/>
      <c r="S50" s="452"/>
      <c r="T50" s="333"/>
      <c r="U50" s="333"/>
      <c r="V50" s="333"/>
      <c r="W50" s="333"/>
      <c r="X50" s="333"/>
      <c r="Y50" s="333"/>
      <c r="Z50" s="333"/>
      <c r="AA50" s="333"/>
      <c r="AB50" s="333"/>
      <c r="AC50" s="333"/>
      <c r="AD50" s="333"/>
      <c r="AE50" s="333"/>
      <c r="AF50" s="333"/>
      <c r="AG50" s="333"/>
      <c r="AH50" s="333"/>
      <c r="AI50" s="333"/>
      <c r="AJ50" s="333"/>
      <c r="AK50" s="333"/>
      <c r="AL50" s="333"/>
      <c r="AM50" s="333"/>
      <c r="AN50" s="333"/>
      <c r="AO50" s="333"/>
      <c r="AP50" s="333"/>
      <c r="AQ50" s="333"/>
      <c r="AR50" s="333"/>
      <c r="AS50" s="333"/>
      <c r="AT50" s="333"/>
      <c r="AU50" s="333"/>
      <c r="AV50" s="333"/>
      <c r="AW50" s="333"/>
      <c r="AX50" s="333"/>
      <c r="AY50" s="333"/>
      <c r="AZ50" s="333"/>
      <c r="BA50" s="333"/>
      <c r="BB50" s="333"/>
      <c r="BC50" s="333"/>
      <c r="BD50" s="333"/>
      <c r="BE50" s="333"/>
      <c r="BF50" s="333"/>
      <c r="BG50" s="333"/>
      <c r="BH50" s="333"/>
      <c r="BI50" s="333"/>
      <c r="BJ50" s="333"/>
      <c r="BK50" s="333"/>
      <c r="BL50" s="333"/>
      <c r="BM50" s="333"/>
      <c r="BN50" s="333"/>
      <c r="BO50" s="333"/>
      <c r="BP50" s="333"/>
      <c r="BQ50" s="333"/>
      <c r="BR50" s="333"/>
      <c r="BS50" s="333"/>
      <c r="BT50" s="333"/>
      <c r="BU50" s="333"/>
      <c r="BV50" s="333"/>
      <c r="BW50" s="333"/>
      <c r="BX50" s="333"/>
      <c r="BY50" s="333"/>
      <c r="BZ50" s="333"/>
      <c r="CA50" s="333"/>
      <c r="CB50" s="333"/>
      <c r="CC50" s="333"/>
      <c r="CD50" s="333"/>
      <c r="CE50" s="333"/>
      <c r="CF50" s="333"/>
      <c r="CG50" s="333"/>
      <c r="CH50" s="333"/>
      <c r="CI50" s="333"/>
      <c r="CJ50" s="333"/>
      <c r="CK50" s="333"/>
      <c r="CL50" s="333"/>
      <c r="CM50" s="333"/>
      <c r="CN50" s="333"/>
      <c r="CO50" s="333"/>
      <c r="CP50" s="333"/>
      <c r="CQ50" s="333"/>
      <c r="CR50" s="333"/>
      <c r="CS50" s="333"/>
      <c r="CT50" s="333"/>
      <c r="CU50" s="333"/>
      <c r="CV50" s="333"/>
      <c r="CW50" s="333"/>
      <c r="CX50" s="333"/>
      <c r="CY50" s="333"/>
      <c r="CZ50" s="333"/>
      <c r="DA50" s="333"/>
      <c r="DB50" s="333"/>
      <c r="DC50" s="333"/>
      <c r="DD50" s="333"/>
      <c r="DE50" s="333"/>
      <c r="DF50" s="333"/>
      <c r="DG50" s="333"/>
      <c r="DH50" s="333"/>
      <c r="DI50" s="333"/>
      <c r="DJ50" s="333"/>
      <c r="DK50" s="333"/>
      <c r="DL50" s="333"/>
      <c r="DM50" s="333"/>
      <c r="DN50" s="333"/>
      <c r="DO50" s="333"/>
      <c r="DP50" s="333"/>
      <c r="DQ50" s="333"/>
      <c r="DR50" s="333"/>
      <c r="DS50" s="333"/>
      <c r="DT50" s="333"/>
      <c r="DU50" s="333"/>
    </row>
    <row r="51" spans="1:125" s="335" customFormat="1" ht="27" customHeight="1">
      <c r="A51" s="443" t="s">
        <v>439</v>
      </c>
      <c r="B51" s="85"/>
      <c r="C51" s="445">
        <v>997013111</v>
      </c>
      <c r="D51" s="358" t="s">
        <v>187</v>
      </c>
      <c r="E51" s="446" t="s">
        <v>125</v>
      </c>
      <c r="F51" s="447">
        <f>F49</f>
        <v>155.73599999999999</v>
      </c>
      <c r="G51" s="81"/>
      <c r="H51" s="448">
        <f>F51*G51</f>
        <v>0</v>
      </c>
      <c r="I51" s="449" t="s">
        <v>738</v>
      </c>
      <c r="J51" s="450"/>
      <c r="K51" s="451"/>
      <c r="L51" s="451"/>
      <c r="M51" s="451"/>
      <c r="N51" s="451"/>
      <c r="O51" s="451"/>
      <c r="P51" s="451"/>
      <c r="Q51" s="452"/>
      <c r="R51" s="452"/>
      <c r="S51" s="453"/>
      <c r="T51" s="347"/>
      <c r="U51" s="333"/>
      <c r="V51" s="333"/>
      <c r="W51" s="333"/>
      <c r="X51" s="333"/>
      <c r="Y51" s="333"/>
      <c r="Z51" s="333"/>
      <c r="AA51" s="333"/>
      <c r="AB51" s="333"/>
      <c r="AC51" s="333"/>
      <c r="AD51" s="333"/>
      <c r="AE51" s="333"/>
      <c r="AF51" s="333"/>
      <c r="AG51" s="333"/>
      <c r="AH51" s="333"/>
      <c r="AI51" s="333"/>
      <c r="AJ51" s="333"/>
      <c r="AK51" s="333"/>
      <c r="AL51" s="333"/>
      <c r="AM51" s="333"/>
      <c r="AN51" s="333"/>
      <c r="AO51" s="333"/>
      <c r="AP51" s="333"/>
      <c r="AQ51" s="333"/>
      <c r="AR51" s="333"/>
      <c r="AS51" s="333"/>
      <c r="AT51" s="333"/>
      <c r="AU51" s="333"/>
      <c r="AV51" s="333"/>
      <c r="AW51" s="333"/>
      <c r="AX51" s="333"/>
      <c r="AY51" s="333"/>
      <c r="AZ51" s="333"/>
      <c r="BA51" s="333"/>
      <c r="BB51" s="333"/>
      <c r="BC51" s="333"/>
      <c r="BD51" s="333"/>
      <c r="BE51" s="333"/>
      <c r="BF51" s="333"/>
      <c r="BG51" s="333"/>
      <c r="BH51" s="333"/>
      <c r="BI51" s="333"/>
      <c r="BJ51" s="333"/>
      <c r="BK51" s="333"/>
      <c r="BL51" s="333"/>
      <c r="BM51" s="333"/>
      <c r="BN51" s="333"/>
      <c r="BO51" s="333"/>
      <c r="BP51" s="333"/>
      <c r="BQ51" s="333"/>
      <c r="BR51" s="333"/>
      <c r="BS51" s="333"/>
      <c r="BT51" s="333"/>
      <c r="BU51" s="333"/>
      <c r="BV51" s="333"/>
      <c r="BW51" s="333"/>
      <c r="BX51" s="333"/>
      <c r="BY51" s="333"/>
      <c r="BZ51" s="333"/>
      <c r="CA51" s="333"/>
      <c r="CB51" s="333"/>
      <c r="CC51" s="333"/>
      <c r="CD51" s="333"/>
      <c r="CE51" s="333"/>
      <c r="CF51" s="333"/>
      <c r="CG51" s="333"/>
      <c r="CH51" s="333"/>
      <c r="CI51" s="333"/>
      <c r="CJ51" s="333"/>
      <c r="CK51" s="333"/>
      <c r="CL51" s="333"/>
      <c r="CM51" s="333"/>
      <c r="CN51" s="333"/>
      <c r="CO51" s="333"/>
      <c r="CP51" s="333"/>
      <c r="CQ51" s="333"/>
      <c r="CR51" s="333"/>
      <c r="CS51" s="333"/>
      <c r="CT51" s="333"/>
      <c r="CU51" s="333"/>
      <c r="CV51" s="333"/>
      <c r="CW51" s="333"/>
      <c r="CX51" s="333"/>
      <c r="CY51" s="333"/>
      <c r="CZ51" s="333"/>
      <c r="DA51" s="333"/>
      <c r="DB51" s="333"/>
      <c r="DC51" s="333"/>
      <c r="DD51" s="333"/>
      <c r="DE51" s="333"/>
      <c r="DF51" s="333"/>
      <c r="DG51" s="333"/>
      <c r="DH51" s="333"/>
      <c r="DI51" s="333"/>
      <c r="DJ51" s="333"/>
      <c r="DK51" s="333"/>
      <c r="DL51" s="333"/>
      <c r="DM51" s="333"/>
      <c r="DN51" s="333"/>
      <c r="DO51" s="333"/>
      <c r="DP51" s="333"/>
      <c r="DQ51" s="333"/>
      <c r="DR51" s="333"/>
      <c r="DS51" s="333"/>
      <c r="DT51" s="333"/>
      <c r="DU51" s="333"/>
    </row>
    <row r="52" spans="1:125" s="335" customFormat="1" ht="13.5" customHeight="1">
      <c r="A52" s="443" t="s">
        <v>440</v>
      </c>
      <c r="B52" s="444"/>
      <c r="C52" s="445">
        <v>997006512</v>
      </c>
      <c r="D52" s="358" t="s">
        <v>188</v>
      </c>
      <c r="E52" s="446" t="s">
        <v>125</v>
      </c>
      <c r="F52" s="447">
        <f>F49</f>
        <v>155.73599999999999</v>
      </c>
      <c r="G52" s="81"/>
      <c r="H52" s="448">
        <f>F52*G52</f>
        <v>0</v>
      </c>
      <c r="I52" s="449" t="s">
        <v>738</v>
      </c>
      <c r="J52" s="450"/>
      <c r="K52" s="451"/>
      <c r="L52" s="451"/>
      <c r="M52" s="451"/>
      <c r="N52" s="451"/>
      <c r="O52" s="451"/>
      <c r="P52" s="451"/>
      <c r="Q52" s="452"/>
      <c r="R52" s="452"/>
      <c r="S52" s="453"/>
      <c r="T52" s="333"/>
      <c r="U52" s="333"/>
      <c r="V52" s="333"/>
      <c r="W52" s="333"/>
      <c r="X52" s="333"/>
      <c r="Y52" s="333"/>
      <c r="Z52" s="333"/>
      <c r="AA52" s="333"/>
      <c r="AB52" s="333"/>
      <c r="AC52" s="333"/>
      <c r="AD52" s="333"/>
      <c r="AE52" s="333"/>
      <c r="AF52" s="333"/>
      <c r="AG52" s="333"/>
      <c r="AH52" s="333"/>
      <c r="AI52" s="333"/>
      <c r="AJ52" s="333"/>
      <c r="AK52" s="333"/>
      <c r="AL52" s="333"/>
      <c r="AM52" s="333"/>
      <c r="AN52" s="333"/>
      <c r="AO52" s="333"/>
      <c r="AP52" s="333"/>
      <c r="AQ52" s="333"/>
      <c r="AR52" s="333"/>
      <c r="AS52" s="333"/>
      <c r="AT52" s="333"/>
      <c r="AU52" s="333"/>
      <c r="AV52" s="333"/>
      <c r="AW52" s="333"/>
      <c r="AX52" s="333"/>
      <c r="AY52" s="333"/>
      <c r="AZ52" s="333"/>
      <c r="BA52" s="333"/>
      <c r="BB52" s="333"/>
      <c r="BC52" s="333"/>
      <c r="BD52" s="333"/>
      <c r="BE52" s="333"/>
      <c r="BF52" s="333"/>
      <c r="BG52" s="333"/>
      <c r="BH52" s="333"/>
      <c r="BI52" s="333"/>
      <c r="BJ52" s="333"/>
      <c r="BK52" s="333"/>
      <c r="BL52" s="333"/>
      <c r="BM52" s="333"/>
      <c r="BN52" s="333"/>
      <c r="BO52" s="333"/>
      <c r="BP52" s="333"/>
      <c r="BQ52" s="333"/>
      <c r="BR52" s="333"/>
      <c r="BS52" s="333"/>
      <c r="BT52" s="333"/>
      <c r="BU52" s="333"/>
      <c r="BV52" s="333"/>
      <c r="BW52" s="333"/>
      <c r="BX52" s="333"/>
      <c r="BY52" s="333"/>
      <c r="BZ52" s="333"/>
      <c r="CA52" s="333"/>
      <c r="CB52" s="333"/>
      <c r="CC52" s="333"/>
      <c r="CD52" s="333"/>
      <c r="CE52" s="333"/>
      <c r="CF52" s="333"/>
      <c r="CG52" s="333"/>
      <c r="CH52" s="333"/>
      <c r="CI52" s="333"/>
      <c r="CJ52" s="333"/>
      <c r="CK52" s="333"/>
      <c r="CL52" s="333"/>
      <c r="CM52" s="333"/>
      <c r="CN52" s="333"/>
      <c r="CO52" s="333"/>
      <c r="CP52" s="333"/>
      <c r="CQ52" s="333"/>
      <c r="CR52" s="333"/>
      <c r="CS52" s="333"/>
      <c r="CT52" s="333"/>
      <c r="CU52" s="333"/>
      <c r="CV52" s="333"/>
      <c r="CW52" s="333"/>
      <c r="CX52" s="333"/>
      <c r="CY52" s="333"/>
      <c r="CZ52" s="333"/>
      <c r="DA52" s="333"/>
      <c r="DB52" s="333"/>
      <c r="DC52" s="333"/>
      <c r="DD52" s="333"/>
      <c r="DE52" s="333"/>
      <c r="DF52" s="333"/>
      <c r="DG52" s="333"/>
      <c r="DH52" s="333"/>
      <c r="DI52" s="333"/>
      <c r="DJ52" s="333"/>
      <c r="DK52" s="333"/>
      <c r="DL52" s="333"/>
      <c r="DM52" s="333"/>
      <c r="DN52" s="333"/>
      <c r="DO52" s="333"/>
      <c r="DP52" s="333"/>
      <c r="DQ52" s="333"/>
      <c r="DR52" s="333"/>
      <c r="DS52" s="333"/>
      <c r="DT52" s="333"/>
      <c r="DU52" s="333"/>
    </row>
    <row r="53" spans="1:125" s="335" customFormat="1" ht="27" customHeight="1">
      <c r="A53" s="443" t="s">
        <v>441</v>
      </c>
      <c r="B53" s="444"/>
      <c r="C53" s="445">
        <v>997006519</v>
      </c>
      <c r="D53" s="358" t="s">
        <v>189</v>
      </c>
      <c r="E53" s="446" t="s">
        <v>125</v>
      </c>
      <c r="F53" s="447">
        <f>F49*5</f>
        <v>778.68</v>
      </c>
      <c r="G53" s="81"/>
      <c r="H53" s="448">
        <f>F53*G53</f>
        <v>0</v>
      </c>
      <c r="I53" s="449" t="s">
        <v>738</v>
      </c>
      <c r="J53" s="450"/>
      <c r="K53" s="451"/>
      <c r="L53" s="451"/>
      <c r="M53" s="451"/>
      <c r="N53" s="451"/>
      <c r="O53" s="451"/>
      <c r="P53" s="451"/>
      <c r="Q53" s="452"/>
      <c r="R53" s="452"/>
      <c r="S53" s="453"/>
      <c r="T53" s="333"/>
      <c r="U53" s="333"/>
      <c r="V53" s="333"/>
      <c r="W53" s="333"/>
      <c r="X53" s="333"/>
      <c r="Y53" s="333"/>
      <c r="Z53" s="333"/>
      <c r="AA53" s="333"/>
      <c r="AB53" s="333"/>
      <c r="AC53" s="333"/>
      <c r="AD53" s="333"/>
      <c r="AE53" s="333"/>
      <c r="AF53" s="333"/>
      <c r="AG53" s="333"/>
      <c r="AH53" s="333"/>
      <c r="AI53" s="333"/>
      <c r="AJ53" s="333"/>
      <c r="AK53" s="333"/>
      <c r="AL53" s="333"/>
      <c r="AM53" s="333"/>
      <c r="AN53" s="333"/>
      <c r="AO53" s="333"/>
      <c r="AP53" s="333"/>
      <c r="AQ53" s="333"/>
      <c r="AR53" s="333"/>
      <c r="AS53" s="333"/>
      <c r="AT53" s="333"/>
      <c r="AU53" s="333"/>
      <c r="AV53" s="333"/>
      <c r="AW53" s="333"/>
      <c r="AX53" s="333"/>
      <c r="AY53" s="333"/>
      <c r="AZ53" s="333"/>
      <c r="BA53" s="333"/>
      <c r="BB53" s="333"/>
      <c r="BC53" s="333"/>
      <c r="BD53" s="333"/>
      <c r="BE53" s="333"/>
      <c r="BF53" s="333"/>
      <c r="BG53" s="333"/>
      <c r="BH53" s="333"/>
      <c r="BI53" s="333"/>
      <c r="BJ53" s="333"/>
      <c r="BK53" s="333"/>
      <c r="BL53" s="333"/>
      <c r="BM53" s="333"/>
      <c r="BN53" s="333"/>
      <c r="BO53" s="333"/>
      <c r="BP53" s="333"/>
      <c r="BQ53" s="333"/>
      <c r="BR53" s="333"/>
      <c r="BS53" s="333"/>
      <c r="BT53" s="333"/>
      <c r="BU53" s="333"/>
      <c r="BV53" s="333"/>
      <c r="BW53" s="333"/>
      <c r="BX53" s="333"/>
      <c r="BY53" s="333"/>
      <c r="BZ53" s="333"/>
      <c r="CA53" s="333"/>
      <c r="CB53" s="333"/>
      <c r="CC53" s="333"/>
      <c r="CD53" s="333"/>
      <c r="CE53" s="333"/>
      <c r="CF53" s="333"/>
      <c r="CG53" s="333"/>
      <c r="CH53" s="333"/>
      <c r="CI53" s="333"/>
      <c r="CJ53" s="333"/>
      <c r="CK53" s="333"/>
      <c r="CL53" s="333"/>
      <c r="CM53" s="333"/>
      <c r="CN53" s="333"/>
      <c r="CO53" s="333"/>
      <c r="CP53" s="333"/>
      <c r="CQ53" s="333"/>
      <c r="CR53" s="333"/>
      <c r="CS53" s="333"/>
      <c r="CT53" s="333"/>
      <c r="CU53" s="333"/>
      <c r="CV53" s="333"/>
      <c r="CW53" s="333"/>
      <c r="CX53" s="333"/>
      <c r="CY53" s="333"/>
      <c r="CZ53" s="333"/>
      <c r="DA53" s="333"/>
      <c r="DB53" s="333"/>
      <c r="DC53" s="333"/>
      <c r="DD53" s="333"/>
      <c r="DE53" s="333"/>
      <c r="DF53" s="333"/>
      <c r="DG53" s="333"/>
      <c r="DH53" s="333"/>
      <c r="DI53" s="333"/>
      <c r="DJ53" s="333"/>
      <c r="DK53" s="333"/>
      <c r="DL53" s="333"/>
      <c r="DM53" s="333"/>
      <c r="DN53" s="333"/>
      <c r="DO53" s="333"/>
      <c r="DP53" s="333"/>
      <c r="DQ53" s="333"/>
      <c r="DR53" s="333"/>
      <c r="DS53" s="333"/>
      <c r="DT53" s="333"/>
      <c r="DU53" s="333"/>
    </row>
    <row r="54" spans="1:125" s="335" customFormat="1" ht="27" customHeight="1">
      <c r="A54" s="443" t="s">
        <v>442</v>
      </c>
      <c r="B54" s="444"/>
      <c r="C54" s="445">
        <v>997013602</v>
      </c>
      <c r="D54" s="358" t="s">
        <v>190</v>
      </c>
      <c r="E54" s="446" t="s">
        <v>125</v>
      </c>
      <c r="F54" s="447">
        <f>F50</f>
        <v>155.73599999999999</v>
      </c>
      <c r="G54" s="81"/>
      <c r="H54" s="448">
        <f>F54*G54</f>
        <v>0</v>
      </c>
      <c r="I54" s="449" t="s">
        <v>738</v>
      </c>
      <c r="J54" s="450"/>
      <c r="K54" s="451"/>
      <c r="L54" s="451"/>
      <c r="M54" s="451"/>
      <c r="N54" s="451"/>
      <c r="O54" s="451"/>
      <c r="P54" s="451"/>
      <c r="Q54" s="452"/>
      <c r="R54" s="452"/>
      <c r="S54" s="453"/>
      <c r="T54" s="333"/>
      <c r="U54" s="333"/>
      <c r="V54" s="333"/>
      <c r="W54" s="333"/>
      <c r="X54" s="333"/>
      <c r="Y54" s="333"/>
      <c r="Z54" s="333"/>
      <c r="AA54" s="333"/>
      <c r="AB54" s="333"/>
      <c r="AC54" s="333"/>
      <c r="AD54" s="333"/>
      <c r="AE54" s="333"/>
      <c r="AF54" s="333"/>
      <c r="AG54" s="333"/>
      <c r="AH54" s="333"/>
      <c r="AI54" s="333"/>
      <c r="AJ54" s="333"/>
      <c r="AK54" s="333"/>
      <c r="AL54" s="333"/>
      <c r="AM54" s="333"/>
      <c r="AN54" s="333"/>
      <c r="AO54" s="333"/>
      <c r="AP54" s="333"/>
      <c r="AQ54" s="333"/>
      <c r="AR54" s="333"/>
      <c r="AS54" s="333"/>
      <c r="AT54" s="333"/>
      <c r="AU54" s="333"/>
      <c r="AV54" s="333"/>
      <c r="AW54" s="333"/>
      <c r="AX54" s="333"/>
      <c r="AY54" s="333"/>
      <c r="AZ54" s="333"/>
      <c r="BA54" s="333"/>
      <c r="BB54" s="333"/>
      <c r="BC54" s="333"/>
      <c r="BD54" s="333"/>
      <c r="BE54" s="333"/>
      <c r="BF54" s="333"/>
      <c r="BG54" s="333"/>
      <c r="BH54" s="333"/>
      <c r="BI54" s="333"/>
      <c r="BJ54" s="333"/>
      <c r="BK54" s="333"/>
      <c r="BL54" s="333"/>
      <c r="BM54" s="333"/>
      <c r="BN54" s="333"/>
      <c r="BO54" s="333"/>
      <c r="BP54" s="333"/>
      <c r="BQ54" s="333"/>
      <c r="BR54" s="333"/>
      <c r="BS54" s="333"/>
      <c r="BT54" s="333"/>
      <c r="BU54" s="333"/>
      <c r="BV54" s="333"/>
      <c r="BW54" s="333"/>
      <c r="BX54" s="333"/>
      <c r="BY54" s="333"/>
      <c r="BZ54" s="333"/>
      <c r="CA54" s="333"/>
      <c r="CB54" s="333"/>
      <c r="CC54" s="333"/>
      <c r="CD54" s="333"/>
      <c r="CE54" s="333"/>
      <c r="CF54" s="333"/>
      <c r="CG54" s="333"/>
      <c r="CH54" s="333"/>
      <c r="CI54" s="333"/>
      <c r="CJ54" s="333"/>
      <c r="CK54" s="333"/>
      <c r="CL54" s="333"/>
      <c r="CM54" s="333"/>
      <c r="CN54" s="333"/>
      <c r="CO54" s="333"/>
      <c r="CP54" s="333"/>
      <c r="CQ54" s="333"/>
      <c r="CR54" s="333"/>
      <c r="CS54" s="333"/>
      <c r="CT54" s="333"/>
      <c r="CU54" s="333"/>
      <c r="CV54" s="333"/>
      <c r="CW54" s="333"/>
      <c r="CX54" s="333"/>
      <c r="CY54" s="333"/>
      <c r="CZ54" s="333"/>
      <c r="DA54" s="333"/>
      <c r="DB54" s="333"/>
      <c r="DC54" s="333"/>
      <c r="DD54" s="333"/>
      <c r="DE54" s="333"/>
      <c r="DF54" s="333"/>
      <c r="DG54" s="333"/>
      <c r="DH54" s="333"/>
      <c r="DI54" s="333"/>
      <c r="DJ54" s="333"/>
      <c r="DK54" s="333"/>
      <c r="DL54" s="333"/>
      <c r="DM54" s="333"/>
      <c r="DN54" s="333"/>
      <c r="DO54" s="333"/>
      <c r="DP54" s="333"/>
      <c r="DQ54" s="333"/>
      <c r="DR54" s="333"/>
      <c r="DS54" s="333"/>
      <c r="DT54" s="333"/>
      <c r="DU54" s="333"/>
    </row>
    <row r="55" spans="1:125" s="335" customFormat="1" ht="67.5" customHeight="1">
      <c r="A55" s="454"/>
      <c r="B55" s="444"/>
      <c r="C55" s="455"/>
      <c r="D55" s="388" t="s">
        <v>195</v>
      </c>
      <c r="E55" s="456"/>
      <c r="F55" s="447"/>
      <c r="G55" s="457"/>
      <c r="H55" s="437"/>
      <c r="I55" s="458"/>
      <c r="J55" s="465"/>
      <c r="K55" s="333"/>
      <c r="L55" s="466"/>
      <c r="M55" s="466"/>
      <c r="N55" s="466"/>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3"/>
      <c r="AL55" s="333"/>
      <c r="AM55" s="333"/>
      <c r="AN55" s="333"/>
      <c r="AO55" s="333"/>
      <c r="AP55" s="333"/>
      <c r="AQ55" s="333"/>
      <c r="AR55" s="333"/>
      <c r="AS55" s="333"/>
      <c r="AT55" s="333"/>
      <c r="AU55" s="333"/>
      <c r="AV55" s="333"/>
      <c r="AW55" s="333"/>
      <c r="AX55" s="333"/>
      <c r="AY55" s="333"/>
      <c r="AZ55" s="333"/>
      <c r="BA55" s="333"/>
      <c r="BB55" s="333"/>
      <c r="BC55" s="333"/>
      <c r="BD55" s="333"/>
      <c r="BE55" s="333"/>
      <c r="BF55" s="333"/>
      <c r="BG55" s="333"/>
      <c r="BH55" s="333"/>
      <c r="BI55" s="333"/>
      <c r="BJ55" s="333"/>
      <c r="BK55" s="333"/>
      <c r="BL55" s="333"/>
      <c r="BM55" s="333"/>
      <c r="BN55" s="333"/>
      <c r="BO55" s="333"/>
      <c r="BP55" s="333"/>
      <c r="BQ55" s="333"/>
      <c r="BR55" s="333"/>
      <c r="BS55" s="333"/>
      <c r="BT55" s="333"/>
      <c r="BU55" s="333"/>
      <c r="BV55" s="333"/>
      <c r="BW55" s="333"/>
      <c r="BX55" s="333"/>
      <c r="BY55" s="333"/>
      <c r="BZ55" s="333"/>
      <c r="CA55" s="333"/>
      <c r="CB55" s="333"/>
      <c r="CC55" s="333"/>
      <c r="CD55" s="333"/>
      <c r="CE55" s="333"/>
      <c r="CF55" s="333"/>
      <c r="CG55" s="333"/>
      <c r="CH55" s="333"/>
      <c r="CI55" s="333"/>
      <c r="CJ55" s="333"/>
      <c r="CK55" s="333"/>
      <c r="CL55" s="333"/>
      <c r="CM55" s="333"/>
      <c r="CN55" s="333"/>
      <c r="CO55" s="333"/>
      <c r="CP55" s="333"/>
      <c r="CQ55" s="333"/>
      <c r="CR55" s="333"/>
      <c r="CS55" s="333"/>
      <c r="CT55" s="333"/>
      <c r="CU55" s="333"/>
      <c r="CV55" s="333"/>
      <c r="CW55" s="333"/>
      <c r="CX55" s="333"/>
      <c r="CY55" s="333"/>
      <c r="CZ55" s="333"/>
      <c r="DA55" s="333"/>
      <c r="DB55" s="333"/>
      <c r="DC55" s="333"/>
      <c r="DD55" s="333"/>
      <c r="DE55" s="333"/>
      <c r="DF55" s="333"/>
      <c r="DG55" s="333"/>
      <c r="DH55" s="333"/>
      <c r="DI55" s="333"/>
      <c r="DJ55" s="333"/>
      <c r="DK55" s="333"/>
      <c r="DL55" s="333"/>
      <c r="DM55" s="333"/>
      <c r="DN55" s="333"/>
      <c r="DO55" s="333"/>
      <c r="DP55" s="333"/>
      <c r="DQ55" s="333"/>
      <c r="DR55" s="333"/>
      <c r="DS55" s="333"/>
      <c r="DT55" s="333"/>
      <c r="DU55" s="333"/>
    </row>
    <row r="56" spans="1:125" s="314" customFormat="1" ht="13.5" customHeight="1">
      <c r="A56" s="467"/>
      <c r="B56" s="468"/>
      <c r="C56" s="468" t="s">
        <v>145</v>
      </c>
      <c r="D56" s="468" t="s">
        <v>146</v>
      </c>
      <c r="E56" s="468"/>
      <c r="F56" s="469"/>
      <c r="G56" s="470"/>
      <c r="H56" s="470">
        <f>SUM(H57:H59)</f>
        <v>0</v>
      </c>
      <c r="I56" s="471"/>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3"/>
      <c r="AL56" s="313"/>
      <c r="AM56" s="313"/>
      <c r="AN56" s="313"/>
      <c r="AO56" s="313"/>
      <c r="AP56" s="313"/>
    </row>
    <row r="57" spans="1:125" s="314" customFormat="1" ht="27" customHeight="1">
      <c r="A57" s="352">
        <v>11</v>
      </c>
      <c r="B57" s="354">
        <v>221</v>
      </c>
      <c r="C57" s="354">
        <v>998225111</v>
      </c>
      <c r="D57" s="354" t="s">
        <v>184</v>
      </c>
      <c r="E57" s="354" t="s">
        <v>125</v>
      </c>
      <c r="F57" s="355">
        <v>134.19999999999999</v>
      </c>
      <c r="G57" s="503"/>
      <c r="H57" s="356">
        <f>F57*G57</f>
        <v>0</v>
      </c>
      <c r="I57" s="360" t="s">
        <v>738</v>
      </c>
      <c r="J57" s="472"/>
      <c r="K57" s="313"/>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13"/>
      <c r="AI57" s="313"/>
      <c r="AJ57" s="313"/>
      <c r="AK57" s="313"/>
      <c r="AL57" s="313"/>
      <c r="AM57" s="313"/>
      <c r="AN57" s="313"/>
      <c r="AO57" s="313"/>
      <c r="AP57" s="313"/>
    </row>
    <row r="58" spans="1:125" s="314" customFormat="1" ht="13.5" customHeight="1">
      <c r="A58" s="352">
        <v>12</v>
      </c>
      <c r="B58" s="354" t="s">
        <v>148</v>
      </c>
      <c r="C58" s="354" t="s">
        <v>149</v>
      </c>
      <c r="D58" s="354" t="s">
        <v>150</v>
      </c>
      <c r="E58" s="354" t="s">
        <v>151</v>
      </c>
      <c r="F58" s="355">
        <f>F59</f>
        <v>20</v>
      </c>
      <c r="G58" s="503"/>
      <c r="H58" s="356">
        <f>F58*G58</f>
        <v>0</v>
      </c>
      <c r="I58" s="360" t="s">
        <v>738</v>
      </c>
      <c r="J58" s="313"/>
      <c r="K58" s="313"/>
      <c r="L58" s="313"/>
      <c r="M58" s="313"/>
      <c r="N58" s="313"/>
      <c r="O58" s="313"/>
      <c r="P58" s="313"/>
      <c r="Q58" s="313"/>
      <c r="R58" s="313"/>
      <c r="S58" s="313"/>
      <c r="T58" s="313"/>
      <c r="U58" s="313"/>
      <c r="V58" s="313"/>
      <c r="W58" s="313"/>
      <c r="X58" s="313"/>
      <c r="Y58" s="313"/>
      <c r="Z58" s="313"/>
      <c r="AA58" s="313"/>
      <c r="AB58" s="313"/>
      <c r="AC58" s="313"/>
      <c r="AD58" s="313"/>
      <c r="AE58" s="313"/>
      <c r="AF58" s="313"/>
      <c r="AG58" s="313"/>
      <c r="AH58" s="313"/>
      <c r="AI58" s="313"/>
      <c r="AJ58" s="313"/>
      <c r="AK58" s="313"/>
      <c r="AL58" s="313"/>
      <c r="AM58" s="313"/>
      <c r="AN58" s="313"/>
      <c r="AO58" s="313"/>
      <c r="AP58" s="313"/>
    </row>
    <row r="59" spans="1:125" s="314" customFormat="1" ht="27" customHeight="1">
      <c r="A59" s="473"/>
      <c r="B59" s="354"/>
      <c r="C59" s="354"/>
      <c r="D59" s="358" t="s">
        <v>165</v>
      </c>
      <c r="E59" s="354"/>
      <c r="F59" s="392">
        <v>20</v>
      </c>
      <c r="G59" s="356"/>
      <c r="H59" s="356"/>
      <c r="I59" s="360"/>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3"/>
      <c r="AL59" s="313"/>
      <c r="AM59" s="313"/>
      <c r="AN59" s="313"/>
      <c r="AO59" s="313"/>
      <c r="AP59" s="313"/>
    </row>
    <row r="60" spans="1:125" s="314" customFormat="1" ht="21" customHeight="1">
      <c r="A60" s="474"/>
      <c r="B60" s="475"/>
      <c r="C60" s="475"/>
      <c r="D60" s="475" t="s">
        <v>18</v>
      </c>
      <c r="E60" s="475"/>
      <c r="F60" s="476"/>
      <c r="G60" s="477"/>
      <c r="H60" s="477">
        <f>H9</f>
        <v>0</v>
      </c>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3"/>
      <c r="AL60" s="313"/>
      <c r="AM60" s="313"/>
      <c r="AN60" s="313"/>
      <c r="AO60" s="313"/>
      <c r="AP60" s="313"/>
      <c r="AQ60" s="313"/>
      <c r="AR60" s="313"/>
      <c r="AS60" s="313"/>
      <c r="AT60" s="313"/>
      <c r="AU60" s="313"/>
      <c r="AV60" s="313"/>
      <c r="AW60" s="313"/>
      <c r="AX60" s="313"/>
      <c r="AY60" s="313"/>
      <c r="AZ60" s="313"/>
      <c r="BA60" s="313"/>
      <c r="BB60" s="313"/>
      <c r="BC60" s="313"/>
      <c r="BD60" s="313"/>
      <c r="BE60" s="313"/>
      <c r="BF60" s="313"/>
      <c r="BG60" s="313"/>
      <c r="BH60" s="313"/>
      <c r="BI60" s="313"/>
      <c r="BJ60" s="313"/>
      <c r="BK60" s="313"/>
      <c r="BL60" s="313"/>
      <c r="BM60" s="313"/>
      <c r="BN60" s="313"/>
      <c r="BO60" s="313"/>
      <c r="BP60" s="313"/>
      <c r="BQ60" s="313"/>
      <c r="BR60" s="313"/>
      <c r="BS60" s="313"/>
      <c r="BT60" s="313"/>
      <c r="BU60" s="313"/>
      <c r="BV60" s="313"/>
      <c r="BW60" s="313"/>
      <c r="BX60" s="313"/>
      <c r="BY60" s="313"/>
      <c r="BZ60" s="313"/>
      <c r="CA60" s="313"/>
      <c r="CB60" s="313"/>
      <c r="CC60" s="313"/>
      <c r="CD60" s="313"/>
      <c r="CE60" s="313"/>
      <c r="CF60" s="313"/>
      <c r="CG60" s="313"/>
      <c r="CH60" s="313"/>
      <c r="CI60" s="313"/>
      <c r="CJ60" s="313"/>
      <c r="CK60" s="313"/>
      <c r="CL60" s="313"/>
      <c r="CM60" s="313"/>
      <c r="CN60" s="313"/>
      <c r="CO60" s="313"/>
      <c r="CP60" s="313"/>
      <c r="CQ60" s="313"/>
      <c r="CR60" s="313"/>
      <c r="CS60" s="313"/>
      <c r="CT60" s="313"/>
      <c r="CU60" s="313"/>
      <c r="CV60" s="313"/>
      <c r="CW60" s="313"/>
      <c r="CX60" s="313"/>
      <c r="CY60" s="313"/>
      <c r="CZ60" s="313"/>
      <c r="DA60" s="313"/>
      <c r="DB60" s="313"/>
      <c r="DC60" s="313"/>
      <c r="DD60" s="313"/>
      <c r="DE60" s="313"/>
      <c r="DF60" s="313"/>
      <c r="DG60" s="313"/>
      <c r="DH60" s="313"/>
      <c r="DI60" s="313"/>
      <c r="DJ60" s="313"/>
      <c r="DK60" s="313"/>
      <c r="DL60" s="313"/>
      <c r="DM60" s="313"/>
      <c r="DN60" s="313"/>
      <c r="DO60" s="313"/>
      <c r="DP60" s="313"/>
      <c r="DQ60" s="313"/>
      <c r="DR60" s="313"/>
      <c r="DS60" s="313"/>
      <c r="DT60" s="313"/>
      <c r="DU60" s="313"/>
    </row>
    <row r="62" spans="1:125" s="314" customFormat="1" ht="13.5" customHeight="1">
      <c r="A62" s="478" t="s">
        <v>88</v>
      </c>
      <c r="B62" s="479"/>
      <c r="C62" s="480"/>
      <c r="D62" s="481" t="s">
        <v>333</v>
      </c>
      <c r="E62" s="482"/>
      <c r="F62" s="483"/>
      <c r="G62" s="484"/>
      <c r="H62" s="485">
        <f>H60</f>
        <v>0</v>
      </c>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3"/>
      <c r="AL62" s="313"/>
      <c r="AM62" s="313"/>
      <c r="AN62" s="313"/>
      <c r="AO62" s="313"/>
      <c r="AP62" s="313"/>
      <c r="AQ62" s="313"/>
      <c r="AR62" s="313"/>
      <c r="AS62" s="313"/>
      <c r="AT62" s="313"/>
      <c r="AU62" s="313"/>
      <c r="AV62" s="313"/>
      <c r="AW62" s="313"/>
      <c r="AX62" s="313"/>
      <c r="AY62" s="313"/>
      <c r="AZ62" s="313"/>
      <c r="BA62" s="313"/>
      <c r="BB62" s="313"/>
      <c r="BC62" s="313"/>
      <c r="BD62" s="313"/>
      <c r="BE62" s="313"/>
      <c r="BF62" s="313"/>
      <c r="BG62" s="313"/>
      <c r="BH62" s="313"/>
      <c r="BI62" s="313"/>
      <c r="BJ62" s="313"/>
      <c r="BK62" s="313"/>
      <c r="BL62" s="313"/>
      <c r="BM62" s="313"/>
      <c r="BN62" s="313"/>
      <c r="BO62" s="313"/>
      <c r="BP62" s="313"/>
      <c r="BQ62" s="313"/>
      <c r="BR62" s="313"/>
      <c r="BS62" s="313"/>
      <c r="BT62" s="313"/>
      <c r="BU62" s="313"/>
      <c r="BV62" s="313"/>
      <c r="BW62" s="313"/>
      <c r="BX62" s="313"/>
      <c r="BY62" s="313"/>
      <c r="BZ62" s="313"/>
      <c r="CA62" s="313"/>
      <c r="CB62" s="313"/>
      <c r="CC62" s="313"/>
      <c r="CD62" s="313"/>
      <c r="CE62" s="313"/>
      <c r="CF62" s="313"/>
      <c r="CG62" s="313"/>
      <c r="CH62" s="313"/>
      <c r="CI62" s="313"/>
      <c r="CJ62" s="313"/>
      <c r="CK62" s="313"/>
      <c r="CL62" s="313"/>
      <c r="CM62" s="313"/>
      <c r="CN62" s="313"/>
      <c r="CO62" s="313"/>
      <c r="CP62" s="313"/>
      <c r="CQ62" s="313"/>
      <c r="CR62" s="313"/>
      <c r="CS62" s="313"/>
      <c r="CT62" s="313"/>
      <c r="CU62" s="313"/>
      <c r="CV62" s="313"/>
      <c r="CW62" s="313"/>
      <c r="CX62" s="313"/>
      <c r="CY62" s="313"/>
      <c r="CZ62" s="313"/>
      <c r="DA62" s="313"/>
      <c r="DB62" s="313"/>
      <c r="DC62" s="313"/>
      <c r="DD62" s="313"/>
      <c r="DE62" s="313"/>
      <c r="DF62" s="313"/>
      <c r="DG62" s="313"/>
      <c r="DH62" s="313"/>
      <c r="DI62" s="313"/>
      <c r="DJ62" s="313"/>
      <c r="DK62" s="313"/>
      <c r="DL62" s="313"/>
      <c r="DM62" s="313"/>
      <c r="DN62" s="313"/>
      <c r="DO62" s="313"/>
      <c r="DP62" s="313"/>
      <c r="DQ62" s="313"/>
      <c r="DR62" s="313"/>
      <c r="DS62" s="313"/>
      <c r="DT62" s="313"/>
      <c r="DU62" s="313"/>
    </row>
    <row r="63" spans="1:125" s="314" customFormat="1" ht="13.5" customHeight="1">
      <c r="A63" s="486"/>
      <c r="B63" s="487"/>
      <c r="C63" s="487"/>
      <c r="D63" s="488"/>
      <c r="E63" s="489"/>
      <c r="F63" s="490"/>
      <c r="G63" s="491"/>
      <c r="H63" s="492"/>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3"/>
      <c r="AL63" s="313"/>
      <c r="AM63" s="313"/>
      <c r="AN63" s="313"/>
      <c r="AO63" s="313"/>
      <c r="AP63" s="313"/>
      <c r="AQ63" s="313"/>
      <c r="AR63" s="313"/>
      <c r="AS63" s="313"/>
      <c r="AT63" s="313"/>
      <c r="AU63" s="313"/>
      <c r="AV63" s="313"/>
      <c r="AW63" s="313"/>
      <c r="AX63" s="313"/>
      <c r="AY63" s="313"/>
      <c r="AZ63" s="313"/>
      <c r="BA63" s="313"/>
      <c r="BB63" s="313"/>
      <c r="BC63" s="313"/>
      <c r="BD63" s="313"/>
      <c r="BE63" s="313"/>
      <c r="BF63" s="313"/>
      <c r="BG63" s="313"/>
      <c r="BH63" s="313"/>
      <c r="BI63" s="313"/>
      <c r="BJ63" s="313"/>
      <c r="BK63" s="313"/>
      <c r="BL63" s="313"/>
      <c r="BM63" s="313"/>
      <c r="BN63" s="313"/>
      <c r="BO63" s="313"/>
      <c r="BP63" s="313"/>
      <c r="BQ63" s="313"/>
      <c r="BR63" s="313"/>
      <c r="BS63" s="313"/>
      <c r="BT63" s="313"/>
      <c r="BU63" s="313"/>
      <c r="BV63" s="313"/>
      <c r="BW63" s="313"/>
      <c r="BX63" s="313"/>
      <c r="BY63" s="313"/>
      <c r="BZ63" s="313"/>
      <c r="CA63" s="313"/>
      <c r="CB63" s="313"/>
      <c r="CC63" s="313"/>
      <c r="CD63" s="313"/>
      <c r="CE63" s="313"/>
      <c r="CF63" s="313"/>
      <c r="CG63" s="313"/>
      <c r="CH63" s="313"/>
      <c r="CI63" s="313"/>
      <c r="CJ63" s="313"/>
      <c r="CK63" s="313"/>
      <c r="CL63" s="313"/>
      <c r="CM63" s="313"/>
      <c r="CN63" s="313"/>
      <c r="CO63" s="313"/>
      <c r="CP63" s="313"/>
      <c r="CQ63" s="313"/>
      <c r="CR63" s="313"/>
      <c r="CS63" s="313"/>
      <c r="CT63" s="313"/>
      <c r="CU63" s="313"/>
      <c r="CV63" s="313"/>
      <c r="CW63" s="313"/>
      <c r="CX63" s="313"/>
      <c r="CY63" s="313"/>
      <c r="CZ63" s="313"/>
      <c r="DA63" s="313"/>
      <c r="DB63" s="313"/>
      <c r="DC63" s="313"/>
      <c r="DD63" s="313"/>
      <c r="DE63" s="313"/>
      <c r="DF63" s="313"/>
      <c r="DG63" s="313"/>
      <c r="DH63" s="313"/>
      <c r="DI63" s="313"/>
      <c r="DJ63" s="313"/>
      <c r="DK63" s="313"/>
      <c r="DL63" s="313"/>
      <c r="DM63" s="313"/>
      <c r="DN63" s="313"/>
      <c r="DO63" s="313"/>
      <c r="DP63" s="313"/>
      <c r="DQ63" s="313"/>
      <c r="DR63" s="313"/>
      <c r="DS63" s="313"/>
      <c r="DT63" s="313"/>
      <c r="DU63" s="313"/>
    </row>
    <row r="64" spans="1:125" s="307" customFormat="1" ht="11.25">
      <c r="A64" s="69" t="s">
        <v>22</v>
      </c>
      <c r="B64" s="69"/>
      <c r="C64" s="69"/>
      <c r="D64" s="69"/>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c r="AW64" s="69"/>
      <c r="AX64" s="69"/>
      <c r="AY64" s="69"/>
      <c r="AZ64" s="69"/>
      <c r="BA64" s="69"/>
      <c r="BB64" s="69"/>
      <c r="BC64" s="69"/>
      <c r="BD64" s="69"/>
      <c r="BE64" s="69"/>
      <c r="BF64" s="69"/>
      <c r="BG64" s="69"/>
      <c r="BH64" s="69"/>
      <c r="BI64" s="69"/>
      <c r="BJ64" s="69"/>
      <c r="BK64" s="69"/>
      <c r="BL64" s="69"/>
      <c r="BM64" s="69"/>
      <c r="BN64" s="69"/>
      <c r="BO64" s="69"/>
      <c r="BP64" s="69"/>
      <c r="BQ64" s="69"/>
      <c r="BR64" s="69"/>
      <c r="BS64" s="69"/>
      <c r="BT64" s="69"/>
      <c r="BU64" s="69"/>
      <c r="BV64" s="69"/>
      <c r="BW64" s="69"/>
      <c r="BX64" s="69"/>
      <c r="BY64" s="69"/>
      <c r="BZ64" s="69"/>
      <c r="CA64" s="69"/>
      <c r="CB64" s="69"/>
      <c r="CC64" s="69"/>
      <c r="CD64" s="69"/>
      <c r="CE64" s="69"/>
      <c r="CF64" s="69"/>
      <c r="CG64" s="69"/>
      <c r="CH64" s="69"/>
      <c r="CI64" s="69"/>
      <c r="CJ64" s="69"/>
      <c r="CK64" s="69"/>
      <c r="CL64" s="69"/>
      <c r="CM64" s="69"/>
      <c r="CN64" s="69"/>
      <c r="CO64" s="69"/>
      <c r="CP64" s="69"/>
      <c r="CQ64" s="69"/>
      <c r="CR64" s="69"/>
      <c r="CS64" s="69"/>
      <c r="CT64" s="69"/>
      <c r="CU64" s="69"/>
      <c r="CV64" s="69"/>
      <c r="CW64" s="69"/>
      <c r="CX64" s="69"/>
      <c r="CY64" s="69"/>
      <c r="CZ64" s="69"/>
      <c r="DA64" s="69"/>
      <c r="DB64" s="69"/>
      <c r="DC64" s="69"/>
      <c r="DD64" s="69"/>
      <c r="DE64" s="69"/>
      <c r="DF64" s="69"/>
      <c r="DG64" s="69"/>
      <c r="DH64" s="69"/>
      <c r="DI64" s="69"/>
      <c r="DJ64" s="69"/>
      <c r="DK64" s="69"/>
      <c r="DL64" s="69"/>
      <c r="DM64" s="69"/>
      <c r="DN64" s="69"/>
      <c r="DO64" s="69"/>
      <c r="DP64" s="69"/>
      <c r="DQ64" s="69"/>
      <c r="DR64" s="69"/>
      <c r="DS64" s="69"/>
      <c r="DT64" s="69"/>
      <c r="DU64" s="69"/>
    </row>
    <row r="65" spans="1:125" s="307" customFormat="1" ht="23.45" customHeight="1">
      <c r="A65" s="143" t="s">
        <v>89</v>
      </c>
      <c r="B65" s="493"/>
      <c r="C65" s="493"/>
      <c r="D65" s="493"/>
      <c r="E65" s="493"/>
      <c r="F65" s="493"/>
      <c r="G65" s="493"/>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9"/>
      <c r="AL65" s="69"/>
      <c r="AM65" s="69"/>
      <c r="AN65" s="69"/>
      <c r="AO65" s="69"/>
      <c r="AP65" s="69"/>
      <c r="AQ65" s="69"/>
      <c r="AR65" s="69"/>
      <c r="AS65" s="69"/>
      <c r="AT65" s="69"/>
      <c r="AU65" s="69"/>
      <c r="AV65" s="69"/>
      <c r="AW65" s="69"/>
      <c r="AX65" s="69"/>
      <c r="AY65" s="69"/>
      <c r="AZ65" s="69"/>
      <c r="BA65" s="69"/>
      <c r="BB65" s="69"/>
      <c r="BC65" s="69"/>
      <c r="BD65" s="69"/>
      <c r="BE65" s="69"/>
      <c r="BF65" s="69"/>
      <c r="BG65" s="69"/>
      <c r="BH65" s="69"/>
      <c r="BI65" s="69"/>
      <c r="BJ65" s="69"/>
      <c r="BK65" s="69"/>
      <c r="BL65" s="69"/>
      <c r="BM65" s="69"/>
      <c r="BN65" s="69"/>
      <c r="BO65" s="69"/>
      <c r="BP65" s="69"/>
      <c r="BQ65" s="69"/>
      <c r="BR65" s="69"/>
      <c r="BS65" s="69"/>
      <c r="BT65" s="69"/>
      <c r="BU65" s="69"/>
      <c r="BV65" s="69"/>
      <c r="BW65" s="69"/>
      <c r="BX65" s="69"/>
      <c r="BY65" s="69"/>
      <c r="BZ65" s="69"/>
      <c r="CA65" s="69"/>
      <c r="CB65" s="69"/>
      <c r="CC65" s="69"/>
      <c r="CD65" s="69"/>
      <c r="CE65" s="69"/>
      <c r="CF65" s="69"/>
      <c r="CG65" s="69"/>
      <c r="CH65" s="69"/>
      <c r="CI65" s="69"/>
      <c r="CJ65" s="69"/>
      <c r="CK65" s="69"/>
      <c r="CL65" s="69"/>
      <c r="CM65" s="69"/>
      <c r="CN65" s="69"/>
      <c r="CO65" s="69"/>
      <c r="CP65" s="69"/>
      <c r="CQ65" s="69"/>
      <c r="CR65" s="69"/>
      <c r="CS65" s="69"/>
      <c r="CT65" s="69"/>
      <c r="CU65" s="69"/>
      <c r="CV65" s="69"/>
      <c r="CW65" s="69"/>
      <c r="CX65" s="69"/>
      <c r="CY65" s="69"/>
      <c r="CZ65" s="69"/>
      <c r="DA65" s="69"/>
      <c r="DB65" s="69"/>
      <c r="DC65" s="69"/>
      <c r="DD65" s="69"/>
      <c r="DE65" s="69"/>
      <c r="DF65" s="69"/>
      <c r="DG65" s="69"/>
      <c r="DH65" s="69"/>
      <c r="DI65" s="69"/>
      <c r="DJ65" s="69"/>
      <c r="DK65" s="69"/>
      <c r="DL65" s="69"/>
      <c r="DM65" s="69"/>
      <c r="DN65" s="69"/>
      <c r="DO65" s="69"/>
      <c r="DP65" s="69"/>
      <c r="DQ65" s="69"/>
      <c r="DR65" s="69"/>
      <c r="DS65" s="69"/>
      <c r="DT65" s="69"/>
      <c r="DU65" s="69"/>
    </row>
    <row r="66" spans="1:125" s="307" customFormat="1" ht="93.75" customHeight="1">
      <c r="A66" s="143" t="s">
        <v>90</v>
      </c>
      <c r="B66" s="150"/>
      <c r="C66" s="150"/>
      <c r="D66" s="150"/>
      <c r="E66" s="150"/>
      <c r="F66" s="150"/>
      <c r="G66" s="150"/>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c r="BA66" s="69"/>
      <c r="BB66" s="69"/>
      <c r="BC66" s="69"/>
      <c r="BD66" s="69"/>
      <c r="BE66" s="69"/>
      <c r="BF66" s="69"/>
      <c r="BG66" s="69"/>
      <c r="BH66" s="69"/>
      <c r="BI66" s="69"/>
      <c r="BJ66" s="69"/>
      <c r="BK66" s="69"/>
      <c r="BL66" s="69"/>
      <c r="BM66" s="69"/>
      <c r="BN66" s="69"/>
      <c r="BO66" s="69"/>
      <c r="BP66" s="69"/>
      <c r="BQ66" s="69"/>
      <c r="BR66" s="69"/>
      <c r="BS66" s="69"/>
      <c r="BT66" s="69"/>
      <c r="BU66" s="69"/>
      <c r="BV66" s="69"/>
      <c r="BW66" s="69"/>
      <c r="BX66" s="69"/>
      <c r="BY66" s="69"/>
      <c r="BZ66" s="69"/>
      <c r="CA66" s="69"/>
      <c r="CB66" s="69"/>
      <c r="CC66" s="69"/>
      <c r="CD66" s="69"/>
      <c r="CE66" s="69"/>
      <c r="CF66" s="69"/>
      <c r="CG66" s="69"/>
      <c r="CH66" s="69"/>
      <c r="CI66" s="69"/>
      <c r="CJ66" s="69"/>
      <c r="CK66" s="69"/>
      <c r="CL66" s="69"/>
      <c r="CM66" s="69"/>
      <c r="CN66" s="69"/>
      <c r="CO66" s="69"/>
      <c r="CP66" s="69"/>
      <c r="CQ66" s="69"/>
      <c r="CR66" s="69"/>
      <c r="CS66" s="69"/>
      <c r="CT66" s="69"/>
      <c r="CU66" s="69"/>
      <c r="CV66" s="69"/>
      <c r="CW66" s="69"/>
      <c r="CX66" s="69"/>
      <c r="CY66" s="69"/>
      <c r="CZ66" s="69"/>
      <c r="DA66" s="69"/>
      <c r="DB66" s="69"/>
      <c r="DC66" s="69"/>
      <c r="DD66" s="69"/>
      <c r="DE66" s="69"/>
      <c r="DF66" s="69"/>
      <c r="DG66" s="69"/>
      <c r="DH66" s="69"/>
      <c r="DI66" s="69"/>
      <c r="DJ66" s="69"/>
      <c r="DK66" s="69"/>
      <c r="DL66" s="69"/>
      <c r="DM66" s="69"/>
      <c r="DN66" s="69"/>
      <c r="DO66" s="69"/>
      <c r="DP66" s="69"/>
      <c r="DQ66" s="69"/>
      <c r="DR66" s="69"/>
      <c r="DS66" s="69"/>
      <c r="DT66" s="69"/>
      <c r="DU66" s="69"/>
    </row>
    <row r="67" spans="1:125" s="496" customFormat="1" ht="13.5" customHeight="1">
      <c r="A67" s="143" t="s">
        <v>69</v>
      </c>
      <c r="B67" s="494"/>
      <c r="C67" s="494"/>
      <c r="D67" s="494"/>
      <c r="E67" s="494"/>
      <c r="F67" s="494"/>
      <c r="G67" s="494"/>
      <c r="H67" s="70"/>
      <c r="I67" s="71"/>
      <c r="J67" s="495"/>
      <c r="K67" s="495"/>
      <c r="L67" s="495"/>
      <c r="M67" s="495"/>
      <c r="N67" s="495"/>
      <c r="O67" s="495"/>
      <c r="P67" s="495"/>
      <c r="Q67" s="495"/>
      <c r="R67" s="495"/>
      <c r="S67" s="495"/>
      <c r="T67" s="495"/>
      <c r="U67" s="495"/>
      <c r="V67" s="495"/>
      <c r="W67" s="495"/>
      <c r="X67" s="495"/>
      <c r="Y67" s="495"/>
      <c r="Z67" s="495"/>
      <c r="AA67" s="495"/>
      <c r="AB67" s="495"/>
      <c r="AC67" s="495"/>
      <c r="AD67" s="495"/>
      <c r="AE67" s="495"/>
      <c r="AF67" s="495"/>
      <c r="AG67" s="495"/>
      <c r="AH67" s="495"/>
      <c r="AI67" s="495"/>
      <c r="AJ67" s="495"/>
      <c r="AK67" s="495"/>
      <c r="AL67" s="495"/>
      <c r="AM67" s="495"/>
      <c r="AN67" s="495"/>
      <c r="AO67" s="495"/>
      <c r="AP67" s="495"/>
      <c r="AQ67" s="495"/>
      <c r="AR67" s="495"/>
      <c r="AS67" s="495"/>
      <c r="AT67" s="495"/>
      <c r="AU67" s="495"/>
      <c r="AV67" s="495"/>
      <c r="AW67" s="495"/>
      <c r="AX67" s="495"/>
      <c r="AY67" s="495"/>
      <c r="AZ67" s="495"/>
      <c r="BA67" s="495"/>
      <c r="BB67" s="495"/>
      <c r="BC67" s="495"/>
      <c r="BD67" s="495"/>
      <c r="BE67" s="495"/>
      <c r="BF67" s="495"/>
      <c r="BG67" s="495"/>
      <c r="BH67" s="495"/>
      <c r="BI67" s="495"/>
      <c r="BJ67" s="495"/>
      <c r="BK67" s="495"/>
      <c r="BL67" s="495"/>
      <c r="BM67" s="495"/>
      <c r="BN67" s="495"/>
      <c r="BO67" s="495"/>
      <c r="BP67" s="495"/>
      <c r="BQ67" s="495"/>
      <c r="BR67" s="495"/>
      <c r="BS67" s="495"/>
      <c r="BT67" s="495"/>
      <c r="BU67" s="495"/>
      <c r="BV67" s="495"/>
      <c r="BW67" s="495"/>
      <c r="BX67" s="495"/>
      <c r="BY67" s="495"/>
      <c r="BZ67" s="495"/>
      <c r="CA67" s="495"/>
      <c r="CB67" s="495"/>
      <c r="CC67" s="495"/>
      <c r="CD67" s="495"/>
      <c r="CE67" s="495"/>
      <c r="CF67" s="495"/>
      <c r="CG67" s="495"/>
      <c r="CH67" s="495"/>
      <c r="CI67" s="495"/>
      <c r="CJ67" s="495"/>
      <c r="CK67" s="495"/>
      <c r="CL67" s="495"/>
      <c r="CM67" s="495"/>
      <c r="CN67" s="495"/>
      <c r="CO67" s="495"/>
      <c r="CP67" s="495"/>
      <c r="CQ67" s="495"/>
      <c r="CR67" s="495"/>
      <c r="CS67" s="495"/>
      <c r="CT67" s="495"/>
      <c r="CU67" s="495"/>
      <c r="CV67" s="495"/>
      <c r="CW67" s="495"/>
      <c r="CX67" s="495"/>
      <c r="CY67" s="495"/>
      <c r="CZ67" s="495"/>
      <c r="DA67" s="495"/>
      <c r="DB67" s="495"/>
      <c r="DC67" s="495"/>
      <c r="DD67" s="495"/>
      <c r="DE67" s="495"/>
      <c r="DF67" s="495"/>
      <c r="DG67" s="495"/>
      <c r="DH67" s="495"/>
      <c r="DI67" s="495"/>
      <c r="DJ67" s="495"/>
      <c r="DK67" s="495"/>
      <c r="DL67" s="495"/>
      <c r="DM67" s="495"/>
      <c r="DN67" s="495"/>
      <c r="DO67" s="495"/>
      <c r="DP67" s="495"/>
      <c r="DQ67" s="495"/>
      <c r="DR67" s="495"/>
      <c r="DS67" s="495"/>
      <c r="DT67" s="495"/>
      <c r="DU67" s="495"/>
    </row>
    <row r="68" spans="1:125" s="496" customFormat="1" ht="13.5" customHeight="1">
      <c r="A68" s="143" t="s">
        <v>70</v>
      </c>
      <c r="B68" s="494"/>
      <c r="C68" s="494"/>
      <c r="D68" s="494"/>
      <c r="E68" s="494"/>
      <c r="F68" s="494"/>
      <c r="G68" s="494"/>
      <c r="H68" s="70"/>
      <c r="I68" s="71"/>
      <c r="J68" s="495"/>
      <c r="K68" s="495"/>
      <c r="L68" s="495"/>
      <c r="M68" s="495"/>
      <c r="N68" s="495"/>
      <c r="O68" s="495"/>
      <c r="P68" s="495"/>
      <c r="Q68" s="495"/>
      <c r="R68" s="495"/>
      <c r="S68" s="495"/>
      <c r="T68" s="495"/>
      <c r="U68" s="495"/>
      <c r="V68" s="495"/>
      <c r="W68" s="495"/>
      <c r="X68" s="495"/>
      <c r="Y68" s="495"/>
      <c r="Z68" s="495"/>
      <c r="AA68" s="495"/>
      <c r="AB68" s="495"/>
      <c r="AC68" s="495"/>
      <c r="AD68" s="495"/>
      <c r="AE68" s="495"/>
      <c r="AF68" s="495"/>
      <c r="AG68" s="495"/>
      <c r="AH68" s="495"/>
      <c r="AI68" s="495"/>
      <c r="AJ68" s="495"/>
      <c r="AK68" s="495"/>
      <c r="AL68" s="495"/>
      <c r="AM68" s="495"/>
      <c r="AN68" s="495"/>
      <c r="AO68" s="495"/>
      <c r="AP68" s="495"/>
      <c r="AQ68" s="495"/>
      <c r="AR68" s="495"/>
      <c r="AS68" s="495"/>
      <c r="AT68" s="495"/>
      <c r="AU68" s="495"/>
      <c r="AV68" s="495"/>
      <c r="AW68" s="495"/>
      <c r="AX68" s="495"/>
      <c r="AY68" s="495"/>
      <c r="AZ68" s="495"/>
      <c r="BA68" s="495"/>
      <c r="BB68" s="495"/>
      <c r="BC68" s="495"/>
      <c r="BD68" s="495"/>
      <c r="BE68" s="495"/>
      <c r="BF68" s="495"/>
      <c r="BG68" s="495"/>
      <c r="BH68" s="495"/>
      <c r="BI68" s="495"/>
      <c r="BJ68" s="495"/>
      <c r="BK68" s="495"/>
      <c r="BL68" s="495"/>
      <c r="BM68" s="495"/>
      <c r="BN68" s="495"/>
      <c r="BO68" s="495"/>
      <c r="BP68" s="495"/>
      <c r="BQ68" s="495"/>
      <c r="BR68" s="495"/>
      <c r="BS68" s="495"/>
      <c r="BT68" s="495"/>
      <c r="BU68" s="495"/>
      <c r="BV68" s="495"/>
      <c r="BW68" s="495"/>
      <c r="BX68" s="495"/>
      <c r="BY68" s="495"/>
      <c r="BZ68" s="495"/>
      <c r="CA68" s="495"/>
      <c r="CB68" s="495"/>
      <c r="CC68" s="495"/>
      <c r="CD68" s="495"/>
      <c r="CE68" s="495"/>
      <c r="CF68" s="495"/>
      <c r="CG68" s="495"/>
      <c r="CH68" s="495"/>
      <c r="CI68" s="495"/>
      <c r="CJ68" s="495"/>
      <c r="CK68" s="495"/>
      <c r="CL68" s="495"/>
      <c r="CM68" s="495"/>
      <c r="CN68" s="495"/>
      <c r="CO68" s="495"/>
      <c r="CP68" s="495"/>
      <c r="CQ68" s="495"/>
      <c r="CR68" s="495"/>
      <c r="CS68" s="495"/>
      <c r="CT68" s="495"/>
      <c r="CU68" s="495"/>
      <c r="CV68" s="495"/>
      <c r="CW68" s="495"/>
      <c r="CX68" s="495"/>
      <c r="CY68" s="495"/>
      <c r="CZ68" s="495"/>
      <c r="DA68" s="495"/>
      <c r="DB68" s="495"/>
      <c r="DC68" s="495"/>
      <c r="DD68" s="495"/>
      <c r="DE68" s="495"/>
      <c r="DF68" s="495"/>
      <c r="DG68" s="495"/>
      <c r="DH68" s="495"/>
      <c r="DI68" s="495"/>
      <c r="DJ68" s="495"/>
      <c r="DK68" s="495"/>
      <c r="DL68" s="495"/>
      <c r="DM68" s="495"/>
      <c r="DN68" s="495"/>
      <c r="DO68" s="495"/>
      <c r="DP68" s="495"/>
      <c r="DQ68" s="495"/>
      <c r="DR68" s="495"/>
      <c r="DS68" s="495"/>
      <c r="DT68" s="495"/>
      <c r="DU68" s="495"/>
    </row>
    <row r="69" spans="1:125" s="496" customFormat="1" ht="54" customHeight="1">
      <c r="A69" s="497" t="s">
        <v>349</v>
      </c>
      <c r="B69" s="497"/>
      <c r="C69" s="497"/>
      <c r="D69" s="497"/>
      <c r="E69" s="497"/>
      <c r="F69" s="497"/>
      <c r="G69" s="497"/>
      <c r="H69" s="70"/>
      <c r="I69" s="71"/>
      <c r="J69" s="495"/>
      <c r="K69" s="495"/>
      <c r="L69" s="495"/>
      <c r="M69" s="495"/>
      <c r="N69" s="495"/>
      <c r="O69" s="495"/>
      <c r="P69" s="495"/>
      <c r="Q69" s="495"/>
      <c r="R69" s="495"/>
      <c r="S69" s="495"/>
      <c r="T69" s="495"/>
      <c r="U69" s="495"/>
      <c r="V69" s="495"/>
      <c r="W69" s="495"/>
      <c r="X69" s="495"/>
      <c r="Y69" s="495"/>
      <c r="Z69" s="495"/>
      <c r="AA69" s="495"/>
      <c r="AB69" s="495"/>
      <c r="AC69" s="495"/>
      <c r="AD69" s="495"/>
      <c r="AE69" s="495"/>
      <c r="AF69" s="495"/>
      <c r="AG69" s="495"/>
      <c r="AH69" s="495"/>
      <c r="AI69" s="495"/>
      <c r="AJ69" s="495"/>
      <c r="AK69" s="495"/>
      <c r="AL69" s="495"/>
      <c r="AM69" s="495"/>
      <c r="AN69" s="495"/>
      <c r="AO69" s="495"/>
      <c r="AP69" s="495"/>
      <c r="AQ69" s="495"/>
      <c r="AR69" s="495"/>
      <c r="AS69" s="495"/>
      <c r="AT69" s="495"/>
      <c r="AU69" s="495"/>
      <c r="AV69" s="495"/>
      <c r="AW69" s="495"/>
      <c r="AX69" s="495"/>
      <c r="AY69" s="495"/>
      <c r="AZ69" s="495"/>
      <c r="BA69" s="495"/>
      <c r="BB69" s="495"/>
      <c r="BC69" s="495"/>
      <c r="BD69" s="495"/>
      <c r="BE69" s="495"/>
      <c r="BF69" s="495"/>
      <c r="BG69" s="495"/>
      <c r="BH69" s="495"/>
      <c r="BI69" s="495"/>
      <c r="BJ69" s="495"/>
      <c r="BK69" s="495"/>
      <c r="BL69" s="495"/>
      <c r="BM69" s="495"/>
      <c r="BN69" s="495"/>
      <c r="BO69" s="495"/>
      <c r="BP69" s="495"/>
      <c r="BQ69" s="495"/>
      <c r="BR69" s="495"/>
      <c r="BS69" s="495"/>
      <c r="BT69" s="495"/>
      <c r="BU69" s="495"/>
      <c r="BV69" s="495"/>
      <c r="BW69" s="495"/>
      <c r="BX69" s="495"/>
      <c r="BY69" s="495"/>
      <c r="BZ69" s="495"/>
      <c r="CA69" s="495"/>
      <c r="CB69" s="495"/>
      <c r="CC69" s="495"/>
      <c r="CD69" s="495"/>
      <c r="CE69" s="495"/>
      <c r="CF69" s="495"/>
      <c r="CG69" s="495"/>
      <c r="CH69" s="495"/>
      <c r="CI69" s="495"/>
      <c r="CJ69" s="495"/>
      <c r="CK69" s="495"/>
      <c r="CL69" s="495"/>
      <c r="CM69" s="495"/>
      <c r="CN69" s="495"/>
      <c r="CO69" s="495"/>
      <c r="CP69" s="495"/>
      <c r="CQ69" s="495"/>
      <c r="CR69" s="495"/>
      <c r="CS69" s="495"/>
      <c r="CT69" s="495"/>
      <c r="CU69" s="495"/>
      <c r="CV69" s="495"/>
      <c r="CW69" s="495"/>
      <c r="CX69" s="495"/>
      <c r="CY69" s="495"/>
      <c r="CZ69" s="495"/>
      <c r="DA69" s="495"/>
      <c r="DB69" s="495"/>
      <c r="DC69" s="495"/>
      <c r="DD69" s="495"/>
      <c r="DE69" s="495"/>
      <c r="DF69" s="495"/>
      <c r="DG69" s="495"/>
      <c r="DH69" s="495"/>
      <c r="DI69" s="495"/>
      <c r="DJ69" s="495"/>
      <c r="DK69" s="495"/>
      <c r="DL69" s="495"/>
      <c r="DM69" s="495"/>
      <c r="DN69" s="495"/>
      <c r="DO69" s="495"/>
      <c r="DP69" s="495"/>
      <c r="DQ69" s="495"/>
      <c r="DR69" s="495"/>
      <c r="DS69" s="495"/>
      <c r="DT69" s="495"/>
      <c r="DU69" s="495"/>
    </row>
  </sheetData>
  <sheetProtection algorithmName="SHA-512" hashValue="G3b/eCRC/+4ON6/1dkZkbbBJ5t4mXHr1mgEKiNHPnV5CO4SgyPGGX2Rxun3bxls5GdCg+ikdEgr3Cuhh54cPzw==" saltValue="LUTcvGWO504HRrXMgMZIGg==" spinCount="100000" sheet="1" objects="1" scenarios="1"/>
  <mergeCells count="8">
    <mergeCell ref="A67:G67"/>
    <mergeCell ref="A68:G68"/>
    <mergeCell ref="A69:G69"/>
    <mergeCell ref="A2:D2"/>
    <mergeCell ref="A3:D3"/>
    <mergeCell ref="A62:C62"/>
    <mergeCell ref="A65:G65"/>
    <mergeCell ref="A66:G66"/>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6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AC99E-0CBF-45F6-A121-AF9FEC1E5542}">
  <sheetPr>
    <pageSetUpPr fitToPage="1"/>
  </sheetPr>
  <dimension ref="A1:IV165"/>
  <sheetViews>
    <sheetView workbookViewId="0"/>
  </sheetViews>
  <sheetFormatPr defaultRowHeight="12.75"/>
  <cols>
    <col min="1" max="1" width="4.140625" style="506" customWidth="1"/>
    <col min="2" max="2" width="4.28515625" style="506" customWidth="1"/>
    <col min="3" max="3" width="14.42578125" style="506" customWidth="1"/>
    <col min="4" max="4" width="65" style="506" customWidth="1"/>
    <col min="5" max="5" width="6.7109375" style="506" customWidth="1"/>
    <col min="6" max="6" width="10.140625" style="506" customWidth="1"/>
    <col min="7" max="7" width="11.7109375" style="506" customWidth="1"/>
    <col min="8" max="8" width="15.7109375" style="506" customWidth="1"/>
    <col min="9" max="9" width="17.28515625" style="506" customWidth="1"/>
    <col min="10" max="10" width="14.7109375" style="505" customWidth="1"/>
    <col min="11" max="11" width="9.140625" style="505"/>
    <col min="12" max="12" width="12.140625" style="505" customWidth="1"/>
    <col min="13" max="44" width="9.140625" style="505"/>
    <col min="45" max="256" width="9.140625" style="506"/>
    <col min="257" max="257" width="4.140625" style="506" customWidth="1"/>
    <col min="258" max="258" width="4.28515625" style="506" customWidth="1"/>
    <col min="259" max="259" width="14.42578125" style="506" customWidth="1"/>
    <col min="260" max="260" width="65" style="506" customWidth="1"/>
    <col min="261" max="261" width="6.7109375" style="506" customWidth="1"/>
    <col min="262" max="262" width="10.140625" style="506" customWidth="1"/>
    <col min="263" max="263" width="11.7109375" style="506" customWidth="1"/>
    <col min="264" max="264" width="15.7109375" style="506" customWidth="1"/>
    <col min="265" max="265" width="17.28515625" style="506" customWidth="1"/>
    <col min="266" max="266" width="12.140625" style="506" customWidth="1"/>
    <col min="267" max="512" width="9.140625" style="506"/>
    <col min="513" max="513" width="4.140625" style="506" customWidth="1"/>
    <col min="514" max="514" width="4.28515625" style="506" customWidth="1"/>
    <col min="515" max="515" width="14.42578125" style="506" customWidth="1"/>
    <col min="516" max="516" width="65" style="506" customWidth="1"/>
    <col min="517" max="517" width="6.7109375" style="506" customWidth="1"/>
    <col min="518" max="518" width="10.140625" style="506" customWidth="1"/>
    <col min="519" max="519" width="11.7109375" style="506" customWidth="1"/>
    <col min="520" max="520" width="15.7109375" style="506" customWidth="1"/>
    <col min="521" max="521" width="17.28515625" style="506" customWidth="1"/>
    <col min="522" max="522" width="12.140625" style="506" customWidth="1"/>
    <col min="523" max="768" width="9.140625" style="506"/>
    <col min="769" max="769" width="4.140625" style="506" customWidth="1"/>
    <col min="770" max="770" width="4.28515625" style="506" customWidth="1"/>
    <col min="771" max="771" width="14.42578125" style="506" customWidth="1"/>
    <col min="772" max="772" width="65" style="506" customWidth="1"/>
    <col min="773" max="773" width="6.7109375" style="506" customWidth="1"/>
    <col min="774" max="774" width="10.140625" style="506" customWidth="1"/>
    <col min="775" max="775" width="11.7109375" style="506" customWidth="1"/>
    <col min="776" max="776" width="15.7109375" style="506" customWidth="1"/>
    <col min="777" max="777" width="17.28515625" style="506" customWidth="1"/>
    <col min="778" max="778" width="12.140625" style="506" customWidth="1"/>
    <col min="779" max="1024" width="9.140625" style="506"/>
    <col min="1025" max="1025" width="4.140625" style="506" customWidth="1"/>
    <col min="1026" max="1026" width="4.28515625" style="506" customWidth="1"/>
    <col min="1027" max="1027" width="14.42578125" style="506" customWidth="1"/>
    <col min="1028" max="1028" width="65" style="506" customWidth="1"/>
    <col min="1029" max="1029" width="6.7109375" style="506" customWidth="1"/>
    <col min="1030" max="1030" width="10.140625" style="506" customWidth="1"/>
    <col min="1031" max="1031" width="11.7109375" style="506" customWidth="1"/>
    <col min="1032" max="1032" width="15.7109375" style="506" customWidth="1"/>
    <col min="1033" max="1033" width="17.28515625" style="506" customWidth="1"/>
    <col min="1034" max="1034" width="12.140625" style="506" customWidth="1"/>
    <col min="1035" max="1280" width="9.140625" style="506"/>
    <col min="1281" max="1281" width="4.140625" style="506" customWidth="1"/>
    <col min="1282" max="1282" width="4.28515625" style="506" customWidth="1"/>
    <col min="1283" max="1283" width="14.42578125" style="506" customWidth="1"/>
    <col min="1284" max="1284" width="65" style="506" customWidth="1"/>
    <col min="1285" max="1285" width="6.7109375" style="506" customWidth="1"/>
    <col min="1286" max="1286" width="10.140625" style="506" customWidth="1"/>
    <col min="1287" max="1287" width="11.7109375" style="506" customWidth="1"/>
    <col min="1288" max="1288" width="15.7109375" style="506" customWidth="1"/>
    <col min="1289" max="1289" width="17.28515625" style="506" customWidth="1"/>
    <col min="1290" max="1290" width="12.140625" style="506" customWidth="1"/>
    <col min="1291" max="1536" width="9.140625" style="506"/>
    <col min="1537" max="1537" width="4.140625" style="506" customWidth="1"/>
    <col min="1538" max="1538" width="4.28515625" style="506" customWidth="1"/>
    <col min="1539" max="1539" width="14.42578125" style="506" customWidth="1"/>
    <col min="1540" max="1540" width="65" style="506" customWidth="1"/>
    <col min="1541" max="1541" width="6.7109375" style="506" customWidth="1"/>
    <col min="1542" max="1542" width="10.140625" style="506" customWidth="1"/>
    <col min="1543" max="1543" width="11.7109375" style="506" customWidth="1"/>
    <col min="1544" max="1544" width="15.7109375" style="506" customWidth="1"/>
    <col min="1545" max="1545" width="17.28515625" style="506" customWidth="1"/>
    <col min="1546" max="1546" width="12.140625" style="506" customWidth="1"/>
    <col min="1547" max="1792" width="9.140625" style="506"/>
    <col min="1793" max="1793" width="4.140625" style="506" customWidth="1"/>
    <col min="1794" max="1794" width="4.28515625" style="506" customWidth="1"/>
    <col min="1795" max="1795" width="14.42578125" style="506" customWidth="1"/>
    <col min="1796" max="1796" width="65" style="506" customWidth="1"/>
    <col min="1797" max="1797" width="6.7109375" style="506" customWidth="1"/>
    <col min="1798" max="1798" width="10.140625" style="506" customWidth="1"/>
    <col min="1799" max="1799" width="11.7109375" style="506" customWidth="1"/>
    <col min="1800" max="1800" width="15.7109375" style="506" customWidth="1"/>
    <col min="1801" max="1801" width="17.28515625" style="506" customWidth="1"/>
    <col min="1802" max="1802" width="12.140625" style="506" customWidth="1"/>
    <col min="1803" max="2048" width="9.140625" style="506"/>
    <col min="2049" max="2049" width="4.140625" style="506" customWidth="1"/>
    <col min="2050" max="2050" width="4.28515625" style="506" customWidth="1"/>
    <col min="2051" max="2051" width="14.42578125" style="506" customWidth="1"/>
    <col min="2052" max="2052" width="65" style="506" customWidth="1"/>
    <col min="2053" max="2053" width="6.7109375" style="506" customWidth="1"/>
    <col min="2054" max="2054" width="10.140625" style="506" customWidth="1"/>
    <col min="2055" max="2055" width="11.7109375" style="506" customWidth="1"/>
    <col min="2056" max="2056" width="15.7109375" style="506" customWidth="1"/>
    <col min="2057" max="2057" width="17.28515625" style="506" customWidth="1"/>
    <col min="2058" max="2058" width="12.140625" style="506" customWidth="1"/>
    <col min="2059" max="2304" width="9.140625" style="506"/>
    <col min="2305" max="2305" width="4.140625" style="506" customWidth="1"/>
    <col min="2306" max="2306" width="4.28515625" style="506" customWidth="1"/>
    <col min="2307" max="2307" width="14.42578125" style="506" customWidth="1"/>
    <col min="2308" max="2308" width="65" style="506" customWidth="1"/>
    <col min="2309" max="2309" width="6.7109375" style="506" customWidth="1"/>
    <col min="2310" max="2310" width="10.140625" style="506" customWidth="1"/>
    <col min="2311" max="2311" width="11.7109375" style="506" customWidth="1"/>
    <col min="2312" max="2312" width="15.7109375" style="506" customWidth="1"/>
    <col min="2313" max="2313" width="17.28515625" style="506" customWidth="1"/>
    <col min="2314" max="2314" width="12.140625" style="506" customWidth="1"/>
    <col min="2315" max="2560" width="9.140625" style="506"/>
    <col min="2561" max="2561" width="4.140625" style="506" customWidth="1"/>
    <col min="2562" max="2562" width="4.28515625" style="506" customWidth="1"/>
    <col min="2563" max="2563" width="14.42578125" style="506" customWidth="1"/>
    <col min="2564" max="2564" width="65" style="506" customWidth="1"/>
    <col min="2565" max="2565" width="6.7109375" style="506" customWidth="1"/>
    <col min="2566" max="2566" width="10.140625" style="506" customWidth="1"/>
    <col min="2567" max="2567" width="11.7109375" style="506" customWidth="1"/>
    <col min="2568" max="2568" width="15.7109375" style="506" customWidth="1"/>
    <col min="2569" max="2569" width="17.28515625" style="506" customWidth="1"/>
    <col min="2570" max="2570" width="12.140625" style="506" customWidth="1"/>
    <col min="2571" max="2816" width="9.140625" style="506"/>
    <col min="2817" max="2817" width="4.140625" style="506" customWidth="1"/>
    <col min="2818" max="2818" width="4.28515625" style="506" customWidth="1"/>
    <col min="2819" max="2819" width="14.42578125" style="506" customWidth="1"/>
    <col min="2820" max="2820" width="65" style="506" customWidth="1"/>
    <col min="2821" max="2821" width="6.7109375" style="506" customWidth="1"/>
    <col min="2822" max="2822" width="10.140625" style="506" customWidth="1"/>
    <col min="2823" max="2823" width="11.7109375" style="506" customWidth="1"/>
    <col min="2824" max="2824" width="15.7109375" style="506" customWidth="1"/>
    <col min="2825" max="2825" width="17.28515625" style="506" customWidth="1"/>
    <col min="2826" max="2826" width="12.140625" style="506" customWidth="1"/>
    <col min="2827" max="3072" width="9.140625" style="506"/>
    <col min="3073" max="3073" width="4.140625" style="506" customWidth="1"/>
    <col min="3074" max="3074" width="4.28515625" style="506" customWidth="1"/>
    <col min="3075" max="3075" width="14.42578125" style="506" customWidth="1"/>
    <col min="3076" max="3076" width="65" style="506" customWidth="1"/>
    <col min="3077" max="3077" width="6.7109375" style="506" customWidth="1"/>
    <col min="3078" max="3078" width="10.140625" style="506" customWidth="1"/>
    <col min="3079" max="3079" width="11.7109375" style="506" customWidth="1"/>
    <col min="3080" max="3080" width="15.7109375" style="506" customWidth="1"/>
    <col min="3081" max="3081" width="17.28515625" style="506" customWidth="1"/>
    <col min="3082" max="3082" width="12.140625" style="506" customWidth="1"/>
    <col min="3083" max="3328" width="9.140625" style="506"/>
    <col min="3329" max="3329" width="4.140625" style="506" customWidth="1"/>
    <col min="3330" max="3330" width="4.28515625" style="506" customWidth="1"/>
    <col min="3331" max="3331" width="14.42578125" style="506" customWidth="1"/>
    <col min="3332" max="3332" width="65" style="506" customWidth="1"/>
    <col min="3333" max="3333" width="6.7109375" style="506" customWidth="1"/>
    <col min="3334" max="3334" width="10.140625" style="506" customWidth="1"/>
    <col min="3335" max="3335" width="11.7109375" style="506" customWidth="1"/>
    <col min="3336" max="3336" width="15.7109375" style="506" customWidth="1"/>
    <col min="3337" max="3337" width="17.28515625" style="506" customWidth="1"/>
    <col min="3338" max="3338" width="12.140625" style="506" customWidth="1"/>
    <col min="3339" max="3584" width="9.140625" style="506"/>
    <col min="3585" max="3585" width="4.140625" style="506" customWidth="1"/>
    <col min="3586" max="3586" width="4.28515625" style="506" customWidth="1"/>
    <col min="3587" max="3587" width="14.42578125" style="506" customWidth="1"/>
    <col min="3588" max="3588" width="65" style="506" customWidth="1"/>
    <col min="3589" max="3589" width="6.7109375" style="506" customWidth="1"/>
    <col min="3590" max="3590" width="10.140625" style="506" customWidth="1"/>
    <col min="3591" max="3591" width="11.7109375" style="506" customWidth="1"/>
    <col min="3592" max="3592" width="15.7109375" style="506" customWidth="1"/>
    <col min="3593" max="3593" width="17.28515625" style="506" customWidth="1"/>
    <col min="3594" max="3594" width="12.140625" style="506" customWidth="1"/>
    <col min="3595" max="3840" width="9.140625" style="506"/>
    <col min="3841" max="3841" width="4.140625" style="506" customWidth="1"/>
    <col min="3842" max="3842" width="4.28515625" style="506" customWidth="1"/>
    <col min="3843" max="3843" width="14.42578125" style="506" customWidth="1"/>
    <col min="3844" max="3844" width="65" style="506" customWidth="1"/>
    <col min="3845" max="3845" width="6.7109375" style="506" customWidth="1"/>
    <col min="3846" max="3846" width="10.140625" style="506" customWidth="1"/>
    <col min="3847" max="3847" width="11.7109375" style="506" customWidth="1"/>
    <col min="3848" max="3848" width="15.7109375" style="506" customWidth="1"/>
    <col min="3849" max="3849" width="17.28515625" style="506" customWidth="1"/>
    <col min="3850" max="3850" width="12.140625" style="506" customWidth="1"/>
    <col min="3851" max="4096" width="9.140625" style="506"/>
    <col min="4097" max="4097" width="4.140625" style="506" customWidth="1"/>
    <col min="4098" max="4098" width="4.28515625" style="506" customWidth="1"/>
    <col min="4099" max="4099" width="14.42578125" style="506" customWidth="1"/>
    <col min="4100" max="4100" width="65" style="506" customWidth="1"/>
    <col min="4101" max="4101" width="6.7109375" style="506" customWidth="1"/>
    <col min="4102" max="4102" width="10.140625" style="506" customWidth="1"/>
    <col min="4103" max="4103" width="11.7109375" style="506" customWidth="1"/>
    <col min="4104" max="4104" width="15.7109375" style="506" customWidth="1"/>
    <col min="4105" max="4105" width="17.28515625" style="506" customWidth="1"/>
    <col min="4106" max="4106" width="12.140625" style="506" customWidth="1"/>
    <col min="4107" max="4352" width="9.140625" style="506"/>
    <col min="4353" max="4353" width="4.140625" style="506" customWidth="1"/>
    <col min="4354" max="4354" width="4.28515625" style="506" customWidth="1"/>
    <col min="4355" max="4355" width="14.42578125" style="506" customWidth="1"/>
    <col min="4356" max="4356" width="65" style="506" customWidth="1"/>
    <col min="4357" max="4357" width="6.7109375" style="506" customWidth="1"/>
    <col min="4358" max="4358" width="10.140625" style="506" customWidth="1"/>
    <col min="4359" max="4359" width="11.7109375" style="506" customWidth="1"/>
    <col min="4360" max="4360" width="15.7109375" style="506" customWidth="1"/>
    <col min="4361" max="4361" width="17.28515625" style="506" customWidth="1"/>
    <col min="4362" max="4362" width="12.140625" style="506" customWidth="1"/>
    <col min="4363" max="4608" width="9.140625" style="506"/>
    <col min="4609" max="4609" width="4.140625" style="506" customWidth="1"/>
    <col min="4610" max="4610" width="4.28515625" style="506" customWidth="1"/>
    <col min="4611" max="4611" width="14.42578125" style="506" customWidth="1"/>
    <col min="4612" max="4612" width="65" style="506" customWidth="1"/>
    <col min="4613" max="4613" width="6.7109375" style="506" customWidth="1"/>
    <col min="4614" max="4614" width="10.140625" style="506" customWidth="1"/>
    <col min="4615" max="4615" width="11.7109375" style="506" customWidth="1"/>
    <col min="4616" max="4616" width="15.7109375" style="506" customWidth="1"/>
    <col min="4617" max="4617" width="17.28515625" style="506" customWidth="1"/>
    <col min="4618" max="4618" width="12.140625" style="506" customWidth="1"/>
    <col min="4619" max="4864" width="9.140625" style="506"/>
    <col min="4865" max="4865" width="4.140625" style="506" customWidth="1"/>
    <col min="4866" max="4866" width="4.28515625" style="506" customWidth="1"/>
    <col min="4867" max="4867" width="14.42578125" style="506" customWidth="1"/>
    <col min="4868" max="4868" width="65" style="506" customWidth="1"/>
    <col min="4869" max="4869" width="6.7109375" style="506" customWidth="1"/>
    <col min="4870" max="4870" width="10.140625" style="506" customWidth="1"/>
    <col min="4871" max="4871" width="11.7109375" style="506" customWidth="1"/>
    <col min="4872" max="4872" width="15.7109375" style="506" customWidth="1"/>
    <col min="4873" max="4873" width="17.28515625" style="506" customWidth="1"/>
    <col min="4874" max="4874" width="12.140625" style="506" customWidth="1"/>
    <col min="4875" max="5120" width="9.140625" style="506"/>
    <col min="5121" max="5121" width="4.140625" style="506" customWidth="1"/>
    <col min="5122" max="5122" width="4.28515625" style="506" customWidth="1"/>
    <col min="5123" max="5123" width="14.42578125" style="506" customWidth="1"/>
    <col min="5124" max="5124" width="65" style="506" customWidth="1"/>
    <col min="5125" max="5125" width="6.7109375" style="506" customWidth="1"/>
    <col min="5126" max="5126" width="10.140625" style="506" customWidth="1"/>
    <col min="5127" max="5127" width="11.7109375" style="506" customWidth="1"/>
    <col min="5128" max="5128" width="15.7109375" style="506" customWidth="1"/>
    <col min="5129" max="5129" width="17.28515625" style="506" customWidth="1"/>
    <col min="5130" max="5130" width="12.140625" style="506" customWidth="1"/>
    <col min="5131" max="5376" width="9.140625" style="506"/>
    <col min="5377" max="5377" width="4.140625" style="506" customWidth="1"/>
    <col min="5378" max="5378" width="4.28515625" style="506" customWidth="1"/>
    <col min="5379" max="5379" width="14.42578125" style="506" customWidth="1"/>
    <col min="5380" max="5380" width="65" style="506" customWidth="1"/>
    <col min="5381" max="5381" width="6.7109375" style="506" customWidth="1"/>
    <col min="5382" max="5382" width="10.140625" style="506" customWidth="1"/>
    <col min="5383" max="5383" width="11.7109375" style="506" customWidth="1"/>
    <col min="5384" max="5384" width="15.7109375" style="506" customWidth="1"/>
    <col min="5385" max="5385" width="17.28515625" style="506" customWidth="1"/>
    <col min="5386" max="5386" width="12.140625" style="506" customWidth="1"/>
    <col min="5387" max="5632" width="9.140625" style="506"/>
    <col min="5633" max="5633" width="4.140625" style="506" customWidth="1"/>
    <col min="5634" max="5634" width="4.28515625" style="506" customWidth="1"/>
    <col min="5635" max="5635" width="14.42578125" style="506" customWidth="1"/>
    <col min="5636" max="5636" width="65" style="506" customWidth="1"/>
    <col min="5637" max="5637" width="6.7109375" style="506" customWidth="1"/>
    <col min="5638" max="5638" width="10.140625" style="506" customWidth="1"/>
    <col min="5639" max="5639" width="11.7109375" style="506" customWidth="1"/>
    <col min="5640" max="5640" width="15.7109375" style="506" customWidth="1"/>
    <col min="5641" max="5641" width="17.28515625" style="506" customWidth="1"/>
    <col min="5642" max="5642" width="12.140625" style="506" customWidth="1"/>
    <col min="5643" max="5888" width="9.140625" style="506"/>
    <col min="5889" max="5889" width="4.140625" style="506" customWidth="1"/>
    <col min="5890" max="5890" width="4.28515625" style="506" customWidth="1"/>
    <col min="5891" max="5891" width="14.42578125" style="506" customWidth="1"/>
    <col min="5892" max="5892" width="65" style="506" customWidth="1"/>
    <col min="5893" max="5893" width="6.7109375" style="506" customWidth="1"/>
    <col min="5894" max="5894" width="10.140625" style="506" customWidth="1"/>
    <col min="5895" max="5895" width="11.7109375" style="506" customWidth="1"/>
    <col min="5896" max="5896" width="15.7109375" style="506" customWidth="1"/>
    <col min="5897" max="5897" width="17.28515625" style="506" customWidth="1"/>
    <col min="5898" max="5898" width="12.140625" style="506" customWidth="1"/>
    <col min="5899" max="6144" width="9.140625" style="506"/>
    <col min="6145" max="6145" width="4.140625" style="506" customWidth="1"/>
    <col min="6146" max="6146" width="4.28515625" style="506" customWidth="1"/>
    <col min="6147" max="6147" width="14.42578125" style="506" customWidth="1"/>
    <col min="6148" max="6148" width="65" style="506" customWidth="1"/>
    <col min="6149" max="6149" width="6.7109375" style="506" customWidth="1"/>
    <col min="6150" max="6150" width="10.140625" style="506" customWidth="1"/>
    <col min="6151" max="6151" width="11.7109375" style="506" customWidth="1"/>
    <col min="6152" max="6152" width="15.7109375" style="506" customWidth="1"/>
    <col min="6153" max="6153" width="17.28515625" style="506" customWidth="1"/>
    <col min="6154" max="6154" width="12.140625" style="506" customWidth="1"/>
    <col min="6155" max="6400" width="9.140625" style="506"/>
    <col min="6401" max="6401" width="4.140625" style="506" customWidth="1"/>
    <col min="6402" max="6402" width="4.28515625" style="506" customWidth="1"/>
    <col min="6403" max="6403" width="14.42578125" style="506" customWidth="1"/>
    <col min="6404" max="6404" width="65" style="506" customWidth="1"/>
    <col min="6405" max="6405" width="6.7109375" style="506" customWidth="1"/>
    <col min="6406" max="6406" width="10.140625" style="506" customWidth="1"/>
    <col min="6407" max="6407" width="11.7109375" style="506" customWidth="1"/>
    <col min="6408" max="6408" width="15.7109375" style="506" customWidth="1"/>
    <col min="6409" max="6409" width="17.28515625" style="506" customWidth="1"/>
    <col min="6410" max="6410" width="12.140625" style="506" customWidth="1"/>
    <col min="6411" max="6656" width="9.140625" style="506"/>
    <col min="6657" max="6657" width="4.140625" style="506" customWidth="1"/>
    <col min="6658" max="6658" width="4.28515625" style="506" customWidth="1"/>
    <col min="6659" max="6659" width="14.42578125" style="506" customWidth="1"/>
    <col min="6660" max="6660" width="65" style="506" customWidth="1"/>
    <col min="6661" max="6661" width="6.7109375" style="506" customWidth="1"/>
    <col min="6662" max="6662" width="10.140625" style="506" customWidth="1"/>
    <col min="6663" max="6663" width="11.7109375" style="506" customWidth="1"/>
    <col min="6664" max="6664" width="15.7109375" style="506" customWidth="1"/>
    <col min="6665" max="6665" width="17.28515625" style="506" customWidth="1"/>
    <col min="6666" max="6666" width="12.140625" style="506" customWidth="1"/>
    <col min="6667" max="6912" width="9.140625" style="506"/>
    <col min="6913" max="6913" width="4.140625" style="506" customWidth="1"/>
    <col min="6914" max="6914" width="4.28515625" style="506" customWidth="1"/>
    <col min="6915" max="6915" width="14.42578125" style="506" customWidth="1"/>
    <col min="6916" max="6916" width="65" style="506" customWidth="1"/>
    <col min="6917" max="6917" width="6.7109375" style="506" customWidth="1"/>
    <col min="6918" max="6918" width="10.140625" style="506" customWidth="1"/>
    <col min="6919" max="6919" width="11.7109375" style="506" customWidth="1"/>
    <col min="6920" max="6920" width="15.7109375" style="506" customWidth="1"/>
    <col min="6921" max="6921" width="17.28515625" style="506" customWidth="1"/>
    <col min="6922" max="6922" width="12.140625" style="506" customWidth="1"/>
    <col min="6923" max="7168" width="9.140625" style="506"/>
    <col min="7169" max="7169" width="4.140625" style="506" customWidth="1"/>
    <col min="7170" max="7170" width="4.28515625" style="506" customWidth="1"/>
    <col min="7171" max="7171" width="14.42578125" style="506" customWidth="1"/>
    <col min="7172" max="7172" width="65" style="506" customWidth="1"/>
    <col min="7173" max="7173" width="6.7109375" style="506" customWidth="1"/>
    <col min="7174" max="7174" width="10.140625" style="506" customWidth="1"/>
    <col min="7175" max="7175" width="11.7109375" style="506" customWidth="1"/>
    <col min="7176" max="7176" width="15.7109375" style="506" customWidth="1"/>
    <col min="7177" max="7177" width="17.28515625" style="506" customWidth="1"/>
    <col min="7178" max="7178" width="12.140625" style="506" customWidth="1"/>
    <col min="7179" max="7424" width="9.140625" style="506"/>
    <col min="7425" max="7425" width="4.140625" style="506" customWidth="1"/>
    <col min="7426" max="7426" width="4.28515625" style="506" customWidth="1"/>
    <col min="7427" max="7427" width="14.42578125" style="506" customWidth="1"/>
    <col min="7428" max="7428" width="65" style="506" customWidth="1"/>
    <col min="7429" max="7429" width="6.7109375" style="506" customWidth="1"/>
    <col min="7430" max="7430" width="10.140625" style="506" customWidth="1"/>
    <col min="7431" max="7431" width="11.7109375" style="506" customWidth="1"/>
    <col min="7432" max="7432" width="15.7109375" style="506" customWidth="1"/>
    <col min="7433" max="7433" width="17.28515625" style="506" customWidth="1"/>
    <col min="7434" max="7434" width="12.140625" style="506" customWidth="1"/>
    <col min="7435" max="7680" width="9.140625" style="506"/>
    <col min="7681" max="7681" width="4.140625" style="506" customWidth="1"/>
    <col min="7682" max="7682" width="4.28515625" style="506" customWidth="1"/>
    <col min="7683" max="7683" width="14.42578125" style="506" customWidth="1"/>
    <col min="7684" max="7684" width="65" style="506" customWidth="1"/>
    <col min="7685" max="7685" width="6.7109375" style="506" customWidth="1"/>
    <col min="7686" max="7686" width="10.140625" style="506" customWidth="1"/>
    <col min="7687" max="7687" width="11.7109375" style="506" customWidth="1"/>
    <col min="7688" max="7688" width="15.7109375" style="506" customWidth="1"/>
    <col min="7689" max="7689" width="17.28515625" style="506" customWidth="1"/>
    <col min="7690" max="7690" width="12.140625" style="506" customWidth="1"/>
    <col min="7691" max="7936" width="9.140625" style="506"/>
    <col min="7937" max="7937" width="4.140625" style="506" customWidth="1"/>
    <col min="7938" max="7938" width="4.28515625" style="506" customWidth="1"/>
    <col min="7939" max="7939" width="14.42578125" style="506" customWidth="1"/>
    <col min="7940" max="7940" width="65" style="506" customWidth="1"/>
    <col min="7941" max="7941" width="6.7109375" style="506" customWidth="1"/>
    <col min="7942" max="7942" width="10.140625" style="506" customWidth="1"/>
    <col min="7943" max="7943" width="11.7109375" style="506" customWidth="1"/>
    <col min="7944" max="7944" width="15.7109375" style="506" customWidth="1"/>
    <col min="7945" max="7945" width="17.28515625" style="506" customWidth="1"/>
    <col min="7946" max="7946" width="12.140625" style="506" customWidth="1"/>
    <col min="7947" max="8192" width="9.140625" style="506"/>
    <col min="8193" max="8193" width="4.140625" style="506" customWidth="1"/>
    <col min="8194" max="8194" width="4.28515625" style="506" customWidth="1"/>
    <col min="8195" max="8195" width="14.42578125" style="506" customWidth="1"/>
    <col min="8196" max="8196" width="65" style="506" customWidth="1"/>
    <col min="8197" max="8197" width="6.7109375" style="506" customWidth="1"/>
    <col min="8198" max="8198" width="10.140625" style="506" customWidth="1"/>
    <col min="8199" max="8199" width="11.7109375" style="506" customWidth="1"/>
    <col min="8200" max="8200" width="15.7109375" style="506" customWidth="1"/>
    <col min="8201" max="8201" width="17.28515625" style="506" customWidth="1"/>
    <col min="8202" max="8202" width="12.140625" style="506" customWidth="1"/>
    <col min="8203" max="8448" width="9.140625" style="506"/>
    <col min="8449" max="8449" width="4.140625" style="506" customWidth="1"/>
    <col min="8450" max="8450" width="4.28515625" style="506" customWidth="1"/>
    <col min="8451" max="8451" width="14.42578125" style="506" customWidth="1"/>
    <col min="8452" max="8452" width="65" style="506" customWidth="1"/>
    <col min="8453" max="8453" width="6.7109375" style="506" customWidth="1"/>
    <col min="8454" max="8454" width="10.140625" style="506" customWidth="1"/>
    <col min="8455" max="8455" width="11.7109375" style="506" customWidth="1"/>
    <col min="8456" max="8456" width="15.7109375" style="506" customWidth="1"/>
    <col min="8457" max="8457" width="17.28515625" style="506" customWidth="1"/>
    <col min="8458" max="8458" width="12.140625" style="506" customWidth="1"/>
    <col min="8459" max="8704" width="9.140625" style="506"/>
    <col min="8705" max="8705" width="4.140625" style="506" customWidth="1"/>
    <col min="8706" max="8706" width="4.28515625" style="506" customWidth="1"/>
    <col min="8707" max="8707" width="14.42578125" style="506" customWidth="1"/>
    <col min="8708" max="8708" width="65" style="506" customWidth="1"/>
    <col min="8709" max="8709" width="6.7109375" style="506" customWidth="1"/>
    <col min="8710" max="8710" width="10.140625" style="506" customWidth="1"/>
    <col min="8711" max="8711" width="11.7109375" style="506" customWidth="1"/>
    <col min="8712" max="8712" width="15.7109375" style="506" customWidth="1"/>
    <col min="8713" max="8713" width="17.28515625" style="506" customWidth="1"/>
    <col min="8714" max="8714" width="12.140625" style="506" customWidth="1"/>
    <col min="8715" max="8960" width="9.140625" style="506"/>
    <col min="8961" max="8961" width="4.140625" style="506" customWidth="1"/>
    <col min="8962" max="8962" width="4.28515625" style="506" customWidth="1"/>
    <col min="8963" max="8963" width="14.42578125" style="506" customWidth="1"/>
    <col min="8964" max="8964" width="65" style="506" customWidth="1"/>
    <col min="8965" max="8965" width="6.7109375" style="506" customWidth="1"/>
    <col min="8966" max="8966" width="10.140625" style="506" customWidth="1"/>
    <col min="8967" max="8967" width="11.7109375" style="506" customWidth="1"/>
    <col min="8968" max="8968" width="15.7109375" style="506" customWidth="1"/>
    <col min="8969" max="8969" width="17.28515625" style="506" customWidth="1"/>
    <col min="8970" max="8970" width="12.140625" style="506" customWidth="1"/>
    <col min="8971" max="9216" width="9.140625" style="506"/>
    <col min="9217" max="9217" width="4.140625" style="506" customWidth="1"/>
    <col min="9218" max="9218" width="4.28515625" style="506" customWidth="1"/>
    <col min="9219" max="9219" width="14.42578125" style="506" customWidth="1"/>
    <col min="9220" max="9220" width="65" style="506" customWidth="1"/>
    <col min="9221" max="9221" width="6.7109375" style="506" customWidth="1"/>
    <col min="9222" max="9222" width="10.140625" style="506" customWidth="1"/>
    <col min="9223" max="9223" width="11.7109375" style="506" customWidth="1"/>
    <col min="9224" max="9224" width="15.7109375" style="506" customWidth="1"/>
    <col min="9225" max="9225" width="17.28515625" style="506" customWidth="1"/>
    <col min="9226" max="9226" width="12.140625" style="506" customWidth="1"/>
    <col min="9227" max="9472" width="9.140625" style="506"/>
    <col min="9473" max="9473" width="4.140625" style="506" customWidth="1"/>
    <col min="9474" max="9474" width="4.28515625" style="506" customWidth="1"/>
    <col min="9475" max="9475" width="14.42578125" style="506" customWidth="1"/>
    <col min="9476" max="9476" width="65" style="506" customWidth="1"/>
    <col min="9477" max="9477" width="6.7109375" style="506" customWidth="1"/>
    <col min="9478" max="9478" width="10.140625" style="506" customWidth="1"/>
    <col min="9479" max="9479" width="11.7109375" style="506" customWidth="1"/>
    <col min="9480" max="9480" width="15.7109375" style="506" customWidth="1"/>
    <col min="9481" max="9481" width="17.28515625" style="506" customWidth="1"/>
    <col min="9482" max="9482" width="12.140625" style="506" customWidth="1"/>
    <col min="9483" max="9728" width="9.140625" style="506"/>
    <col min="9729" max="9729" width="4.140625" style="506" customWidth="1"/>
    <col min="9730" max="9730" width="4.28515625" style="506" customWidth="1"/>
    <col min="9731" max="9731" width="14.42578125" style="506" customWidth="1"/>
    <col min="9732" max="9732" width="65" style="506" customWidth="1"/>
    <col min="9733" max="9733" width="6.7109375" style="506" customWidth="1"/>
    <col min="9734" max="9734" width="10.140625" style="506" customWidth="1"/>
    <col min="9735" max="9735" width="11.7109375" style="506" customWidth="1"/>
    <col min="9736" max="9736" width="15.7109375" style="506" customWidth="1"/>
    <col min="9737" max="9737" width="17.28515625" style="506" customWidth="1"/>
    <col min="9738" max="9738" width="12.140625" style="506" customWidth="1"/>
    <col min="9739" max="9984" width="9.140625" style="506"/>
    <col min="9985" max="9985" width="4.140625" style="506" customWidth="1"/>
    <col min="9986" max="9986" width="4.28515625" style="506" customWidth="1"/>
    <col min="9987" max="9987" width="14.42578125" style="506" customWidth="1"/>
    <col min="9988" max="9988" width="65" style="506" customWidth="1"/>
    <col min="9989" max="9989" width="6.7109375" style="506" customWidth="1"/>
    <col min="9990" max="9990" width="10.140625" style="506" customWidth="1"/>
    <col min="9991" max="9991" width="11.7109375" style="506" customWidth="1"/>
    <col min="9992" max="9992" width="15.7109375" style="506" customWidth="1"/>
    <col min="9993" max="9993" width="17.28515625" style="506" customWidth="1"/>
    <col min="9994" max="9994" width="12.140625" style="506" customWidth="1"/>
    <col min="9995" max="10240" width="9.140625" style="506"/>
    <col min="10241" max="10241" width="4.140625" style="506" customWidth="1"/>
    <col min="10242" max="10242" width="4.28515625" style="506" customWidth="1"/>
    <col min="10243" max="10243" width="14.42578125" style="506" customWidth="1"/>
    <col min="10244" max="10244" width="65" style="506" customWidth="1"/>
    <col min="10245" max="10245" width="6.7109375" style="506" customWidth="1"/>
    <col min="10246" max="10246" width="10.140625" style="506" customWidth="1"/>
    <col min="10247" max="10247" width="11.7109375" style="506" customWidth="1"/>
    <col min="10248" max="10248" width="15.7109375" style="506" customWidth="1"/>
    <col min="10249" max="10249" width="17.28515625" style="506" customWidth="1"/>
    <col min="10250" max="10250" width="12.140625" style="506" customWidth="1"/>
    <col min="10251" max="10496" width="9.140625" style="506"/>
    <col min="10497" max="10497" width="4.140625" style="506" customWidth="1"/>
    <col min="10498" max="10498" width="4.28515625" style="506" customWidth="1"/>
    <col min="10499" max="10499" width="14.42578125" style="506" customWidth="1"/>
    <col min="10500" max="10500" width="65" style="506" customWidth="1"/>
    <col min="10501" max="10501" width="6.7109375" style="506" customWidth="1"/>
    <col min="10502" max="10502" width="10.140625" style="506" customWidth="1"/>
    <col min="10503" max="10503" width="11.7109375" style="506" customWidth="1"/>
    <col min="10504" max="10504" width="15.7109375" style="506" customWidth="1"/>
    <col min="10505" max="10505" width="17.28515625" style="506" customWidth="1"/>
    <col min="10506" max="10506" width="12.140625" style="506" customWidth="1"/>
    <col min="10507" max="10752" width="9.140625" style="506"/>
    <col min="10753" max="10753" width="4.140625" style="506" customWidth="1"/>
    <col min="10754" max="10754" width="4.28515625" style="506" customWidth="1"/>
    <col min="10755" max="10755" width="14.42578125" style="506" customWidth="1"/>
    <col min="10756" max="10756" width="65" style="506" customWidth="1"/>
    <col min="10757" max="10757" width="6.7109375" style="506" customWidth="1"/>
    <col min="10758" max="10758" width="10.140625" style="506" customWidth="1"/>
    <col min="10759" max="10759" width="11.7109375" style="506" customWidth="1"/>
    <col min="10760" max="10760" width="15.7109375" style="506" customWidth="1"/>
    <col min="10761" max="10761" width="17.28515625" style="506" customWidth="1"/>
    <col min="10762" max="10762" width="12.140625" style="506" customWidth="1"/>
    <col min="10763" max="11008" width="9.140625" style="506"/>
    <col min="11009" max="11009" width="4.140625" style="506" customWidth="1"/>
    <col min="11010" max="11010" width="4.28515625" style="506" customWidth="1"/>
    <col min="11011" max="11011" width="14.42578125" style="506" customWidth="1"/>
    <col min="11012" max="11012" width="65" style="506" customWidth="1"/>
    <col min="11013" max="11013" width="6.7109375" style="506" customWidth="1"/>
    <col min="11014" max="11014" width="10.140625" style="506" customWidth="1"/>
    <col min="11015" max="11015" width="11.7109375" style="506" customWidth="1"/>
    <col min="11016" max="11016" width="15.7109375" style="506" customWidth="1"/>
    <col min="11017" max="11017" width="17.28515625" style="506" customWidth="1"/>
    <col min="11018" max="11018" width="12.140625" style="506" customWidth="1"/>
    <col min="11019" max="11264" width="9.140625" style="506"/>
    <col min="11265" max="11265" width="4.140625" style="506" customWidth="1"/>
    <col min="11266" max="11266" width="4.28515625" style="506" customWidth="1"/>
    <col min="11267" max="11267" width="14.42578125" style="506" customWidth="1"/>
    <col min="11268" max="11268" width="65" style="506" customWidth="1"/>
    <col min="11269" max="11269" width="6.7109375" style="506" customWidth="1"/>
    <col min="11270" max="11270" width="10.140625" style="506" customWidth="1"/>
    <col min="11271" max="11271" width="11.7109375" style="506" customWidth="1"/>
    <col min="11272" max="11272" width="15.7109375" style="506" customWidth="1"/>
    <col min="11273" max="11273" width="17.28515625" style="506" customWidth="1"/>
    <col min="11274" max="11274" width="12.140625" style="506" customWidth="1"/>
    <col min="11275" max="11520" width="9.140625" style="506"/>
    <col min="11521" max="11521" width="4.140625" style="506" customWidth="1"/>
    <col min="11522" max="11522" width="4.28515625" style="506" customWidth="1"/>
    <col min="11523" max="11523" width="14.42578125" style="506" customWidth="1"/>
    <col min="11524" max="11524" width="65" style="506" customWidth="1"/>
    <col min="11525" max="11525" width="6.7109375" style="506" customWidth="1"/>
    <col min="11526" max="11526" width="10.140625" style="506" customWidth="1"/>
    <col min="11527" max="11527" width="11.7109375" style="506" customWidth="1"/>
    <col min="11528" max="11528" width="15.7109375" style="506" customWidth="1"/>
    <col min="11529" max="11529" width="17.28515625" style="506" customWidth="1"/>
    <col min="11530" max="11530" width="12.140625" style="506" customWidth="1"/>
    <col min="11531" max="11776" width="9.140625" style="506"/>
    <col min="11777" max="11777" width="4.140625" style="506" customWidth="1"/>
    <col min="11778" max="11778" width="4.28515625" style="506" customWidth="1"/>
    <col min="11779" max="11779" width="14.42578125" style="506" customWidth="1"/>
    <col min="11780" max="11780" width="65" style="506" customWidth="1"/>
    <col min="11781" max="11781" width="6.7109375" style="506" customWidth="1"/>
    <col min="11782" max="11782" width="10.140625" style="506" customWidth="1"/>
    <col min="11783" max="11783" width="11.7109375" style="506" customWidth="1"/>
    <col min="11784" max="11784" width="15.7109375" style="506" customWidth="1"/>
    <col min="11785" max="11785" width="17.28515625" style="506" customWidth="1"/>
    <col min="11786" max="11786" width="12.140625" style="506" customWidth="1"/>
    <col min="11787" max="12032" width="9.140625" style="506"/>
    <col min="12033" max="12033" width="4.140625" style="506" customWidth="1"/>
    <col min="12034" max="12034" width="4.28515625" style="506" customWidth="1"/>
    <col min="12035" max="12035" width="14.42578125" style="506" customWidth="1"/>
    <col min="12036" max="12036" width="65" style="506" customWidth="1"/>
    <col min="12037" max="12037" width="6.7109375" style="506" customWidth="1"/>
    <col min="12038" max="12038" width="10.140625" style="506" customWidth="1"/>
    <col min="12039" max="12039" width="11.7109375" style="506" customWidth="1"/>
    <col min="12040" max="12040" width="15.7109375" style="506" customWidth="1"/>
    <col min="12041" max="12041" width="17.28515625" style="506" customWidth="1"/>
    <col min="12042" max="12042" width="12.140625" style="506" customWidth="1"/>
    <col min="12043" max="12288" width="9.140625" style="506"/>
    <col min="12289" max="12289" width="4.140625" style="506" customWidth="1"/>
    <col min="12290" max="12290" width="4.28515625" style="506" customWidth="1"/>
    <col min="12291" max="12291" width="14.42578125" style="506" customWidth="1"/>
    <col min="12292" max="12292" width="65" style="506" customWidth="1"/>
    <col min="12293" max="12293" width="6.7109375" style="506" customWidth="1"/>
    <col min="12294" max="12294" width="10.140625" style="506" customWidth="1"/>
    <col min="12295" max="12295" width="11.7109375" style="506" customWidth="1"/>
    <col min="12296" max="12296" width="15.7109375" style="506" customWidth="1"/>
    <col min="12297" max="12297" width="17.28515625" style="506" customWidth="1"/>
    <col min="12298" max="12298" width="12.140625" style="506" customWidth="1"/>
    <col min="12299" max="12544" width="9.140625" style="506"/>
    <col min="12545" max="12545" width="4.140625" style="506" customWidth="1"/>
    <col min="12546" max="12546" width="4.28515625" style="506" customWidth="1"/>
    <col min="12547" max="12547" width="14.42578125" style="506" customWidth="1"/>
    <col min="12548" max="12548" width="65" style="506" customWidth="1"/>
    <col min="12549" max="12549" width="6.7109375" style="506" customWidth="1"/>
    <col min="12550" max="12550" width="10.140625" style="506" customWidth="1"/>
    <col min="12551" max="12551" width="11.7109375" style="506" customWidth="1"/>
    <col min="12552" max="12552" width="15.7109375" style="506" customWidth="1"/>
    <col min="12553" max="12553" width="17.28515625" style="506" customWidth="1"/>
    <col min="12554" max="12554" width="12.140625" style="506" customWidth="1"/>
    <col min="12555" max="12800" width="9.140625" style="506"/>
    <col min="12801" max="12801" width="4.140625" style="506" customWidth="1"/>
    <col min="12802" max="12802" width="4.28515625" style="506" customWidth="1"/>
    <col min="12803" max="12803" width="14.42578125" style="506" customWidth="1"/>
    <col min="12804" max="12804" width="65" style="506" customWidth="1"/>
    <col min="12805" max="12805" width="6.7109375" style="506" customWidth="1"/>
    <col min="12806" max="12806" width="10.140625" style="506" customWidth="1"/>
    <col min="12807" max="12807" width="11.7109375" style="506" customWidth="1"/>
    <col min="12808" max="12808" width="15.7109375" style="506" customWidth="1"/>
    <col min="12809" max="12809" width="17.28515625" style="506" customWidth="1"/>
    <col min="12810" max="12810" width="12.140625" style="506" customWidth="1"/>
    <col min="12811" max="13056" width="9.140625" style="506"/>
    <col min="13057" max="13057" width="4.140625" style="506" customWidth="1"/>
    <col min="13058" max="13058" width="4.28515625" style="506" customWidth="1"/>
    <col min="13059" max="13059" width="14.42578125" style="506" customWidth="1"/>
    <col min="13060" max="13060" width="65" style="506" customWidth="1"/>
    <col min="13061" max="13061" width="6.7109375" style="506" customWidth="1"/>
    <col min="13062" max="13062" width="10.140625" style="506" customWidth="1"/>
    <col min="13063" max="13063" width="11.7109375" style="506" customWidth="1"/>
    <col min="13064" max="13064" width="15.7109375" style="506" customWidth="1"/>
    <col min="13065" max="13065" width="17.28515625" style="506" customWidth="1"/>
    <col min="13066" max="13066" width="12.140625" style="506" customWidth="1"/>
    <col min="13067" max="13312" width="9.140625" style="506"/>
    <col min="13313" max="13313" width="4.140625" style="506" customWidth="1"/>
    <col min="13314" max="13314" width="4.28515625" style="506" customWidth="1"/>
    <col min="13315" max="13315" width="14.42578125" style="506" customWidth="1"/>
    <col min="13316" max="13316" width="65" style="506" customWidth="1"/>
    <col min="13317" max="13317" width="6.7109375" style="506" customWidth="1"/>
    <col min="13318" max="13318" width="10.140625" style="506" customWidth="1"/>
    <col min="13319" max="13319" width="11.7109375" style="506" customWidth="1"/>
    <col min="13320" max="13320" width="15.7109375" style="506" customWidth="1"/>
    <col min="13321" max="13321" width="17.28515625" style="506" customWidth="1"/>
    <col min="13322" max="13322" width="12.140625" style="506" customWidth="1"/>
    <col min="13323" max="13568" width="9.140625" style="506"/>
    <col min="13569" max="13569" width="4.140625" style="506" customWidth="1"/>
    <col min="13570" max="13570" width="4.28515625" style="506" customWidth="1"/>
    <col min="13571" max="13571" width="14.42578125" style="506" customWidth="1"/>
    <col min="13572" max="13572" width="65" style="506" customWidth="1"/>
    <col min="13573" max="13573" width="6.7109375" style="506" customWidth="1"/>
    <col min="13574" max="13574" width="10.140625" style="506" customWidth="1"/>
    <col min="13575" max="13575" width="11.7109375" style="506" customWidth="1"/>
    <col min="13576" max="13576" width="15.7109375" style="506" customWidth="1"/>
    <col min="13577" max="13577" width="17.28515625" style="506" customWidth="1"/>
    <col min="13578" max="13578" width="12.140625" style="506" customWidth="1"/>
    <col min="13579" max="13824" width="9.140625" style="506"/>
    <col min="13825" max="13825" width="4.140625" style="506" customWidth="1"/>
    <col min="13826" max="13826" width="4.28515625" style="506" customWidth="1"/>
    <col min="13827" max="13827" width="14.42578125" style="506" customWidth="1"/>
    <col min="13828" max="13828" width="65" style="506" customWidth="1"/>
    <col min="13829" max="13829" width="6.7109375" style="506" customWidth="1"/>
    <col min="13830" max="13830" width="10.140625" style="506" customWidth="1"/>
    <col min="13831" max="13831" width="11.7109375" style="506" customWidth="1"/>
    <col min="13832" max="13832" width="15.7109375" style="506" customWidth="1"/>
    <col min="13833" max="13833" width="17.28515625" style="506" customWidth="1"/>
    <col min="13834" max="13834" width="12.140625" style="506" customWidth="1"/>
    <col min="13835" max="14080" width="9.140625" style="506"/>
    <col min="14081" max="14081" width="4.140625" style="506" customWidth="1"/>
    <col min="14082" max="14082" width="4.28515625" style="506" customWidth="1"/>
    <col min="14083" max="14083" width="14.42578125" style="506" customWidth="1"/>
    <col min="14084" max="14084" width="65" style="506" customWidth="1"/>
    <col min="14085" max="14085" width="6.7109375" style="506" customWidth="1"/>
    <col min="14086" max="14086" width="10.140625" style="506" customWidth="1"/>
    <col min="14087" max="14087" width="11.7109375" style="506" customWidth="1"/>
    <col min="14088" max="14088" width="15.7109375" style="506" customWidth="1"/>
    <col min="14089" max="14089" width="17.28515625" style="506" customWidth="1"/>
    <col min="14090" max="14090" width="12.140625" style="506" customWidth="1"/>
    <col min="14091" max="14336" width="9.140625" style="506"/>
    <col min="14337" max="14337" width="4.140625" style="506" customWidth="1"/>
    <col min="14338" max="14338" width="4.28515625" style="506" customWidth="1"/>
    <col min="14339" max="14339" width="14.42578125" style="506" customWidth="1"/>
    <col min="14340" max="14340" width="65" style="506" customWidth="1"/>
    <col min="14341" max="14341" width="6.7109375" style="506" customWidth="1"/>
    <col min="14342" max="14342" width="10.140625" style="506" customWidth="1"/>
    <col min="14343" max="14343" width="11.7109375" style="506" customWidth="1"/>
    <col min="14344" max="14344" width="15.7109375" style="506" customWidth="1"/>
    <col min="14345" max="14345" width="17.28515625" style="506" customWidth="1"/>
    <col min="14346" max="14346" width="12.140625" style="506" customWidth="1"/>
    <col min="14347" max="14592" width="9.140625" style="506"/>
    <col min="14593" max="14593" width="4.140625" style="506" customWidth="1"/>
    <col min="14594" max="14594" width="4.28515625" style="506" customWidth="1"/>
    <col min="14595" max="14595" width="14.42578125" style="506" customWidth="1"/>
    <col min="14596" max="14596" width="65" style="506" customWidth="1"/>
    <col min="14597" max="14597" width="6.7109375" style="506" customWidth="1"/>
    <col min="14598" max="14598" width="10.140625" style="506" customWidth="1"/>
    <col min="14599" max="14599" width="11.7109375" style="506" customWidth="1"/>
    <col min="14600" max="14600" width="15.7109375" style="506" customWidth="1"/>
    <col min="14601" max="14601" width="17.28515625" style="506" customWidth="1"/>
    <col min="14602" max="14602" width="12.140625" style="506" customWidth="1"/>
    <col min="14603" max="14848" width="9.140625" style="506"/>
    <col min="14849" max="14849" width="4.140625" style="506" customWidth="1"/>
    <col min="14850" max="14850" width="4.28515625" style="506" customWidth="1"/>
    <col min="14851" max="14851" width="14.42578125" style="506" customWidth="1"/>
    <col min="14852" max="14852" width="65" style="506" customWidth="1"/>
    <col min="14853" max="14853" width="6.7109375" style="506" customWidth="1"/>
    <col min="14854" max="14854" width="10.140625" style="506" customWidth="1"/>
    <col min="14855" max="14855" width="11.7109375" style="506" customWidth="1"/>
    <col min="14856" max="14856" width="15.7109375" style="506" customWidth="1"/>
    <col min="14857" max="14857" width="17.28515625" style="506" customWidth="1"/>
    <col min="14858" max="14858" width="12.140625" style="506" customWidth="1"/>
    <col min="14859" max="15104" width="9.140625" style="506"/>
    <col min="15105" max="15105" width="4.140625" style="506" customWidth="1"/>
    <col min="15106" max="15106" width="4.28515625" style="506" customWidth="1"/>
    <col min="15107" max="15107" width="14.42578125" style="506" customWidth="1"/>
    <col min="15108" max="15108" width="65" style="506" customWidth="1"/>
    <col min="15109" max="15109" width="6.7109375" style="506" customWidth="1"/>
    <col min="15110" max="15110" width="10.140625" style="506" customWidth="1"/>
    <col min="15111" max="15111" width="11.7109375" style="506" customWidth="1"/>
    <col min="15112" max="15112" width="15.7109375" style="506" customWidth="1"/>
    <col min="15113" max="15113" width="17.28515625" style="506" customWidth="1"/>
    <col min="15114" max="15114" width="12.140625" style="506" customWidth="1"/>
    <col min="15115" max="15360" width="9.140625" style="506"/>
    <col min="15361" max="15361" width="4.140625" style="506" customWidth="1"/>
    <col min="15362" max="15362" width="4.28515625" style="506" customWidth="1"/>
    <col min="15363" max="15363" width="14.42578125" style="506" customWidth="1"/>
    <col min="15364" max="15364" width="65" style="506" customWidth="1"/>
    <col min="15365" max="15365" width="6.7109375" style="506" customWidth="1"/>
    <col min="15366" max="15366" width="10.140625" style="506" customWidth="1"/>
    <col min="15367" max="15367" width="11.7109375" style="506" customWidth="1"/>
    <col min="15368" max="15368" width="15.7109375" style="506" customWidth="1"/>
    <col min="15369" max="15369" width="17.28515625" style="506" customWidth="1"/>
    <col min="15370" max="15370" width="12.140625" style="506" customWidth="1"/>
    <col min="15371" max="15616" width="9.140625" style="506"/>
    <col min="15617" max="15617" width="4.140625" style="506" customWidth="1"/>
    <col min="15618" max="15618" width="4.28515625" style="506" customWidth="1"/>
    <col min="15619" max="15619" width="14.42578125" style="506" customWidth="1"/>
    <col min="15620" max="15620" width="65" style="506" customWidth="1"/>
    <col min="15621" max="15621" width="6.7109375" style="506" customWidth="1"/>
    <col min="15622" max="15622" width="10.140625" style="506" customWidth="1"/>
    <col min="15623" max="15623" width="11.7109375" style="506" customWidth="1"/>
    <col min="15624" max="15624" width="15.7109375" style="506" customWidth="1"/>
    <col min="15625" max="15625" width="17.28515625" style="506" customWidth="1"/>
    <col min="15626" max="15626" width="12.140625" style="506" customWidth="1"/>
    <col min="15627" max="15872" width="9.140625" style="506"/>
    <col min="15873" max="15873" width="4.140625" style="506" customWidth="1"/>
    <col min="15874" max="15874" width="4.28515625" style="506" customWidth="1"/>
    <col min="15875" max="15875" width="14.42578125" style="506" customWidth="1"/>
    <col min="15876" max="15876" width="65" style="506" customWidth="1"/>
    <col min="15877" max="15877" width="6.7109375" style="506" customWidth="1"/>
    <col min="15878" max="15878" width="10.140625" style="506" customWidth="1"/>
    <col min="15879" max="15879" width="11.7109375" style="506" customWidth="1"/>
    <col min="15880" max="15880" width="15.7109375" style="506" customWidth="1"/>
    <col min="15881" max="15881" width="17.28515625" style="506" customWidth="1"/>
    <col min="15882" max="15882" width="12.140625" style="506" customWidth="1"/>
    <col min="15883" max="16128" width="9.140625" style="506"/>
    <col min="16129" max="16129" width="4.140625" style="506" customWidth="1"/>
    <col min="16130" max="16130" width="4.28515625" style="506" customWidth="1"/>
    <col min="16131" max="16131" width="14.42578125" style="506" customWidth="1"/>
    <col min="16132" max="16132" width="65" style="506" customWidth="1"/>
    <col min="16133" max="16133" width="6.7109375" style="506" customWidth="1"/>
    <col min="16134" max="16134" width="10.140625" style="506" customWidth="1"/>
    <col min="16135" max="16135" width="11.7109375" style="506" customWidth="1"/>
    <col min="16136" max="16136" width="15.7109375" style="506" customWidth="1"/>
    <col min="16137" max="16137" width="17.28515625" style="506" customWidth="1"/>
    <col min="16138" max="16138" width="12.140625" style="506" customWidth="1"/>
    <col min="16139" max="16384" width="9.140625" style="506"/>
  </cols>
  <sheetData>
    <row r="1" spans="1:256" ht="21" customHeight="1">
      <c r="A1" s="120" t="s">
        <v>839</v>
      </c>
      <c r="B1" s="504"/>
      <c r="C1" s="504"/>
      <c r="D1" s="504"/>
      <c r="E1" s="127"/>
      <c r="F1" s="127"/>
      <c r="G1" s="127"/>
      <c r="H1" s="127"/>
      <c r="I1" s="127"/>
    </row>
    <row r="2" spans="1:256" ht="13.5" customHeight="1">
      <c r="A2" s="142" t="s">
        <v>731</v>
      </c>
      <c r="B2" s="315"/>
      <c r="C2" s="315"/>
      <c r="D2" s="315"/>
      <c r="E2" s="507"/>
      <c r="F2" s="507"/>
      <c r="G2" s="507"/>
      <c r="H2" s="507"/>
      <c r="I2" s="508"/>
      <c r="J2" s="509"/>
      <c r="K2" s="509"/>
      <c r="L2" s="509"/>
      <c r="M2" s="509"/>
      <c r="N2" s="509"/>
      <c r="O2" s="509"/>
      <c r="P2" s="509"/>
      <c r="Q2" s="509"/>
      <c r="R2" s="509"/>
      <c r="S2" s="509"/>
      <c r="T2" s="509"/>
      <c r="U2" s="509"/>
      <c r="V2" s="509"/>
      <c r="W2" s="509"/>
      <c r="X2" s="509"/>
      <c r="Y2" s="509"/>
      <c r="Z2" s="509"/>
      <c r="AA2" s="509"/>
      <c r="AB2" s="509"/>
      <c r="AC2" s="509"/>
      <c r="AD2" s="509"/>
      <c r="AE2" s="509"/>
      <c r="AF2" s="509"/>
      <c r="AG2" s="509"/>
      <c r="AH2" s="509"/>
      <c r="AI2" s="509"/>
      <c r="AJ2" s="509"/>
      <c r="AK2" s="509"/>
      <c r="AL2" s="509"/>
      <c r="AM2" s="509"/>
      <c r="AN2" s="509"/>
      <c r="AO2" s="509"/>
      <c r="AP2" s="509"/>
      <c r="AQ2" s="509"/>
      <c r="AR2" s="509"/>
      <c r="AS2" s="508"/>
      <c r="AT2" s="508"/>
      <c r="AU2" s="508"/>
      <c r="AV2" s="508"/>
      <c r="AW2" s="508"/>
      <c r="AX2" s="508"/>
      <c r="AY2" s="508"/>
      <c r="AZ2" s="508"/>
      <c r="BA2" s="508"/>
      <c r="BB2" s="508"/>
      <c r="BC2" s="508"/>
      <c r="BD2" s="508"/>
      <c r="BE2" s="508"/>
      <c r="BF2" s="508"/>
      <c r="BG2" s="508"/>
      <c r="BH2" s="508"/>
      <c r="BI2" s="508"/>
      <c r="BJ2" s="508"/>
      <c r="BK2" s="508"/>
      <c r="BL2" s="508"/>
      <c r="BM2" s="508"/>
      <c r="BN2" s="508"/>
      <c r="BO2" s="508"/>
      <c r="BP2" s="508"/>
      <c r="BQ2" s="508"/>
      <c r="BR2" s="508"/>
      <c r="BS2" s="508"/>
      <c r="BT2" s="508"/>
      <c r="BU2" s="508"/>
      <c r="BV2" s="508"/>
      <c r="BW2" s="508"/>
      <c r="BX2" s="508"/>
      <c r="BY2" s="508"/>
      <c r="BZ2" s="508"/>
      <c r="CA2" s="508"/>
      <c r="CB2" s="508"/>
      <c r="CC2" s="508"/>
      <c r="CD2" s="508"/>
      <c r="CE2" s="508"/>
      <c r="CF2" s="508"/>
      <c r="CG2" s="508"/>
      <c r="CH2" s="508"/>
      <c r="CI2" s="508"/>
      <c r="CJ2" s="508"/>
      <c r="CK2" s="508"/>
      <c r="CL2" s="508"/>
      <c r="CM2" s="508"/>
      <c r="CN2" s="508"/>
      <c r="CO2" s="508"/>
      <c r="CP2" s="508"/>
      <c r="CQ2" s="508"/>
      <c r="CR2" s="508"/>
      <c r="CS2" s="508"/>
      <c r="CT2" s="508"/>
      <c r="CU2" s="508"/>
      <c r="CV2" s="508"/>
      <c r="CW2" s="508"/>
      <c r="CX2" s="508"/>
      <c r="CY2" s="508"/>
      <c r="CZ2" s="508"/>
      <c r="DA2" s="508"/>
      <c r="DB2" s="508"/>
      <c r="DC2" s="508"/>
      <c r="DD2" s="508"/>
      <c r="DE2" s="508"/>
      <c r="DF2" s="508"/>
      <c r="DG2" s="508"/>
      <c r="DH2" s="508"/>
      <c r="DI2" s="508"/>
      <c r="DJ2" s="508"/>
      <c r="DK2" s="508"/>
      <c r="DL2" s="508"/>
      <c r="DM2" s="508"/>
      <c r="DN2" s="508"/>
      <c r="DO2" s="508"/>
      <c r="DP2" s="508"/>
      <c r="DQ2" s="508"/>
      <c r="DR2" s="508"/>
      <c r="DS2" s="508"/>
      <c r="DT2" s="508"/>
      <c r="DU2" s="508"/>
      <c r="DV2" s="508"/>
      <c r="DW2" s="508"/>
      <c r="DX2" s="508"/>
      <c r="DY2" s="508"/>
      <c r="DZ2" s="508"/>
      <c r="EA2" s="508"/>
      <c r="EB2" s="508"/>
      <c r="EC2" s="508"/>
      <c r="ED2" s="508"/>
      <c r="EE2" s="508"/>
      <c r="EF2" s="508"/>
      <c r="EG2" s="508"/>
      <c r="EH2" s="508"/>
      <c r="EI2" s="508"/>
      <c r="EJ2" s="508"/>
      <c r="EK2" s="508"/>
      <c r="EL2" s="508"/>
      <c r="EM2" s="508"/>
      <c r="EN2" s="508"/>
      <c r="EO2" s="508"/>
      <c r="EP2" s="508"/>
      <c r="EQ2" s="508"/>
      <c r="ER2" s="508"/>
      <c r="ES2" s="508"/>
      <c r="ET2" s="508"/>
      <c r="EU2" s="508"/>
      <c r="EV2" s="508"/>
      <c r="EW2" s="508"/>
      <c r="EX2" s="508"/>
      <c r="EY2" s="508"/>
      <c r="EZ2" s="508"/>
      <c r="FA2" s="508"/>
      <c r="FB2" s="508"/>
      <c r="FC2" s="508"/>
      <c r="FD2" s="508"/>
      <c r="FE2" s="508"/>
      <c r="FF2" s="508"/>
      <c r="FG2" s="508"/>
      <c r="FH2" s="508"/>
      <c r="FI2" s="508"/>
      <c r="FJ2" s="508"/>
      <c r="FK2" s="508"/>
      <c r="FL2" s="508"/>
      <c r="FM2" s="508"/>
      <c r="FN2" s="508"/>
      <c r="FO2" s="508"/>
      <c r="FP2" s="508"/>
      <c r="FQ2" s="508"/>
      <c r="FR2" s="508"/>
      <c r="FS2" s="508"/>
      <c r="FT2" s="508"/>
      <c r="FU2" s="508"/>
      <c r="FV2" s="508"/>
      <c r="FW2" s="508"/>
      <c r="FX2" s="508"/>
      <c r="FY2" s="508"/>
      <c r="FZ2" s="508"/>
      <c r="GA2" s="508"/>
      <c r="GB2" s="508"/>
      <c r="GC2" s="508"/>
      <c r="GD2" s="508"/>
      <c r="GE2" s="508"/>
      <c r="GF2" s="508"/>
      <c r="GG2" s="508"/>
      <c r="GH2" s="508"/>
      <c r="GI2" s="508"/>
      <c r="GJ2" s="508"/>
      <c r="GK2" s="508"/>
      <c r="GL2" s="508"/>
      <c r="GM2" s="508"/>
      <c r="GN2" s="508"/>
      <c r="GO2" s="508"/>
      <c r="GP2" s="508"/>
      <c r="GQ2" s="508"/>
      <c r="GR2" s="508"/>
      <c r="GS2" s="508"/>
      <c r="GT2" s="508"/>
      <c r="GU2" s="508"/>
      <c r="GV2" s="508"/>
      <c r="GW2" s="508"/>
      <c r="GX2" s="508"/>
      <c r="GY2" s="508"/>
      <c r="GZ2" s="508"/>
      <c r="HA2" s="508"/>
      <c r="HB2" s="508"/>
      <c r="HC2" s="508"/>
      <c r="HD2" s="508"/>
      <c r="HE2" s="508"/>
      <c r="HF2" s="508"/>
      <c r="HG2" s="508"/>
      <c r="HH2" s="508"/>
      <c r="HI2" s="508"/>
      <c r="HJ2" s="508"/>
      <c r="HK2" s="508"/>
      <c r="HL2" s="508"/>
      <c r="HM2" s="508"/>
      <c r="HN2" s="508"/>
      <c r="HO2" s="508"/>
      <c r="HP2" s="508"/>
      <c r="HQ2" s="508"/>
      <c r="HR2" s="508"/>
      <c r="HS2" s="508"/>
      <c r="HT2" s="508"/>
      <c r="HU2" s="508"/>
      <c r="HV2" s="508"/>
      <c r="HW2" s="508"/>
      <c r="HX2" s="508"/>
      <c r="HY2" s="508"/>
      <c r="HZ2" s="508"/>
      <c r="IA2" s="508"/>
      <c r="IB2" s="508"/>
      <c r="IC2" s="508"/>
      <c r="ID2" s="508"/>
      <c r="IE2" s="508"/>
      <c r="IF2" s="508"/>
      <c r="IG2" s="508"/>
      <c r="IH2" s="508"/>
      <c r="II2" s="508"/>
      <c r="IJ2" s="508"/>
      <c r="IK2" s="508"/>
      <c r="IL2" s="508"/>
      <c r="IM2" s="508"/>
      <c r="IN2" s="508"/>
      <c r="IO2" s="508"/>
      <c r="IP2" s="508"/>
      <c r="IQ2" s="508"/>
      <c r="IR2" s="508"/>
      <c r="IS2" s="508"/>
      <c r="IT2" s="508"/>
      <c r="IU2" s="508"/>
      <c r="IV2" s="508"/>
    </row>
    <row r="3" spans="1:256" ht="13.5" customHeight="1">
      <c r="A3" s="142" t="s">
        <v>328</v>
      </c>
      <c r="B3" s="315"/>
      <c r="C3" s="315"/>
      <c r="D3" s="315"/>
      <c r="E3" s="510"/>
      <c r="F3" s="511"/>
      <c r="G3" s="511"/>
      <c r="H3" s="508"/>
      <c r="I3" s="508"/>
    </row>
    <row r="4" spans="1:256" ht="13.5" customHeight="1">
      <c r="A4" s="123" t="s">
        <v>539</v>
      </c>
      <c r="B4" s="512"/>
      <c r="C4" s="512"/>
      <c r="D4" s="512"/>
      <c r="E4" s="510"/>
      <c r="F4" s="511"/>
      <c r="G4" s="511"/>
      <c r="H4" s="508"/>
      <c r="I4" s="508"/>
    </row>
    <row r="5" spans="1:256" ht="13.5" customHeight="1">
      <c r="A5" s="128" t="s">
        <v>167</v>
      </c>
      <c r="B5" s="128"/>
      <c r="C5" s="128"/>
      <c r="D5" s="128"/>
      <c r="E5" s="128"/>
      <c r="F5" s="128"/>
      <c r="G5" s="129"/>
      <c r="H5" s="129"/>
      <c r="I5" s="77"/>
      <c r="J5" s="513"/>
      <c r="K5" s="513"/>
      <c r="L5" s="513"/>
      <c r="M5" s="513"/>
      <c r="N5" s="513"/>
      <c r="O5" s="513"/>
      <c r="P5" s="513"/>
      <c r="Q5" s="513"/>
      <c r="R5" s="513"/>
      <c r="S5" s="513"/>
      <c r="T5" s="513"/>
      <c r="U5" s="513"/>
      <c r="V5" s="513"/>
      <c r="W5" s="513"/>
      <c r="X5" s="513"/>
      <c r="Y5" s="513"/>
      <c r="Z5" s="513"/>
      <c r="AA5" s="513"/>
      <c r="AB5" s="513"/>
      <c r="AC5" s="513"/>
      <c r="AD5" s="513"/>
      <c r="AE5" s="513"/>
      <c r="AF5" s="513"/>
      <c r="AG5" s="513"/>
      <c r="AH5" s="513"/>
      <c r="AI5" s="513"/>
      <c r="AJ5" s="513"/>
      <c r="AK5" s="513"/>
      <c r="AL5" s="513"/>
      <c r="AM5" s="513"/>
      <c r="AN5" s="513"/>
      <c r="AO5" s="513"/>
      <c r="AP5" s="513"/>
      <c r="AQ5" s="513"/>
      <c r="AR5" s="513"/>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c r="CL5" s="77"/>
      <c r="CM5" s="77"/>
      <c r="CN5" s="77"/>
      <c r="CO5" s="77"/>
      <c r="CP5" s="77"/>
      <c r="CQ5" s="77"/>
      <c r="CR5" s="77"/>
      <c r="CS5" s="77"/>
      <c r="CT5" s="77"/>
      <c r="CU5" s="77"/>
      <c r="CV5" s="77"/>
      <c r="CW5" s="77"/>
      <c r="CX5" s="77"/>
      <c r="CY5" s="77"/>
      <c r="CZ5" s="77"/>
      <c r="DA5" s="77"/>
      <c r="DB5" s="77"/>
      <c r="DC5" s="77"/>
      <c r="DD5" s="77"/>
      <c r="DE5" s="77"/>
      <c r="DF5" s="77"/>
      <c r="DG5" s="77"/>
      <c r="DH5" s="77"/>
      <c r="DI5" s="77"/>
      <c r="DJ5" s="77"/>
      <c r="DK5" s="77"/>
      <c r="DL5" s="77"/>
      <c r="DM5" s="77"/>
      <c r="DN5" s="77"/>
      <c r="DO5" s="77"/>
      <c r="DP5" s="77"/>
      <c r="DQ5" s="77"/>
      <c r="DR5" s="77"/>
      <c r="DS5" s="77"/>
      <c r="DT5" s="77"/>
      <c r="DU5" s="77"/>
      <c r="DV5" s="77"/>
      <c r="DW5" s="77"/>
      <c r="DX5" s="77"/>
      <c r="DY5" s="77"/>
      <c r="DZ5" s="77"/>
      <c r="EA5" s="77"/>
      <c r="EB5" s="77"/>
      <c r="EC5" s="77"/>
      <c r="ED5" s="77"/>
      <c r="EE5" s="77"/>
      <c r="EF5" s="77"/>
      <c r="EG5" s="77"/>
      <c r="EH5" s="77"/>
      <c r="EI5" s="77"/>
      <c r="EJ5" s="77"/>
      <c r="EK5" s="77"/>
      <c r="EL5" s="77"/>
      <c r="EM5" s="77"/>
      <c r="EN5" s="77"/>
      <c r="EO5" s="77"/>
      <c r="EP5" s="77"/>
      <c r="EQ5" s="77"/>
      <c r="ER5" s="77"/>
      <c r="ES5" s="77"/>
      <c r="ET5" s="77"/>
      <c r="EU5" s="77"/>
      <c r="EV5" s="77"/>
      <c r="EW5" s="77"/>
      <c r="EX5" s="77"/>
      <c r="EY5" s="77"/>
      <c r="EZ5" s="77"/>
      <c r="FA5" s="77"/>
      <c r="FB5" s="77"/>
      <c r="FC5" s="77"/>
      <c r="FD5" s="77"/>
      <c r="FE5" s="77"/>
      <c r="FF5" s="77"/>
      <c r="FG5" s="77"/>
      <c r="FH5" s="77"/>
      <c r="FI5" s="77"/>
      <c r="FJ5" s="77"/>
      <c r="FK5" s="77"/>
      <c r="FL5" s="77"/>
      <c r="FM5" s="77"/>
      <c r="FN5" s="77"/>
      <c r="FO5" s="77"/>
      <c r="FP5" s="77"/>
      <c r="FQ5" s="77"/>
      <c r="FR5" s="77"/>
      <c r="FS5" s="77"/>
      <c r="FT5" s="77"/>
      <c r="FU5" s="77"/>
      <c r="FV5" s="77"/>
      <c r="FW5" s="77"/>
      <c r="FX5" s="77"/>
      <c r="FY5" s="77"/>
      <c r="FZ5" s="77"/>
      <c r="GA5" s="77"/>
      <c r="GB5" s="77"/>
      <c r="GC5" s="77"/>
      <c r="GD5" s="77"/>
      <c r="GE5" s="77"/>
      <c r="GF5" s="77"/>
      <c r="GG5" s="77"/>
      <c r="GH5" s="77"/>
      <c r="GI5" s="77"/>
      <c r="GJ5" s="77"/>
      <c r="GK5" s="77"/>
      <c r="GL5" s="77"/>
      <c r="GM5" s="77"/>
      <c r="GN5" s="77"/>
      <c r="GO5" s="77"/>
      <c r="GP5" s="77"/>
      <c r="GQ5" s="77"/>
      <c r="GR5" s="77"/>
      <c r="GS5" s="77"/>
      <c r="GT5" s="77"/>
      <c r="GU5" s="77"/>
      <c r="GV5" s="77"/>
      <c r="GW5" s="77"/>
      <c r="GX5" s="77"/>
      <c r="GY5" s="77"/>
      <c r="GZ5" s="77"/>
      <c r="HA5" s="77"/>
      <c r="HB5" s="77"/>
      <c r="HC5" s="77"/>
      <c r="HD5" s="77"/>
      <c r="HE5" s="77"/>
      <c r="HF5" s="77"/>
      <c r="HG5" s="77"/>
      <c r="HH5" s="77"/>
      <c r="HI5" s="77"/>
      <c r="HJ5" s="77"/>
      <c r="HK5" s="77"/>
      <c r="HL5" s="77"/>
      <c r="HM5" s="77"/>
      <c r="HN5" s="77"/>
      <c r="HO5" s="77"/>
      <c r="HP5" s="77"/>
      <c r="HQ5" s="77"/>
      <c r="HR5" s="77"/>
      <c r="HS5" s="77"/>
      <c r="HT5" s="77"/>
      <c r="HU5" s="77"/>
      <c r="HV5" s="77"/>
      <c r="HW5" s="77"/>
      <c r="HX5" s="77"/>
      <c r="HY5" s="77"/>
      <c r="HZ5" s="77"/>
      <c r="IA5" s="77"/>
      <c r="IB5" s="77"/>
      <c r="IC5" s="77"/>
      <c r="ID5" s="77"/>
      <c r="IE5" s="77"/>
      <c r="IF5" s="77"/>
      <c r="IG5" s="77"/>
      <c r="IH5" s="77"/>
      <c r="II5" s="77"/>
      <c r="IJ5" s="77"/>
      <c r="IK5" s="77"/>
      <c r="IL5" s="77"/>
      <c r="IM5" s="77"/>
      <c r="IN5" s="77"/>
      <c r="IO5" s="77"/>
      <c r="IP5" s="77"/>
      <c r="IQ5" s="77"/>
      <c r="IR5" s="77"/>
      <c r="IS5" s="77"/>
      <c r="IT5" s="77"/>
      <c r="IU5" s="77"/>
      <c r="IV5" s="77"/>
    </row>
    <row r="6" spans="1:256" ht="15">
      <c r="A6" s="511"/>
      <c r="B6" s="511"/>
      <c r="C6" s="511"/>
      <c r="D6" s="514"/>
      <c r="E6" s="515"/>
      <c r="F6" s="511"/>
      <c r="G6" s="511"/>
      <c r="H6" s="511"/>
      <c r="I6" s="516"/>
    </row>
    <row r="7" spans="1:256" ht="22.5">
      <c r="A7" s="517" t="s">
        <v>71</v>
      </c>
      <c r="B7" s="517" t="s">
        <v>72</v>
      </c>
      <c r="C7" s="517" t="s">
        <v>73</v>
      </c>
      <c r="D7" s="517" t="s">
        <v>74</v>
      </c>
      <c r="E7" s="517" t="s">
        <v>75</v>
      </c>
      <c r="F7" s="517" t="s">
        <v>76</v>
      </c>
      <c r="G7" s="517" t="s">
        <v>77</v>
      </c>
      <c r="H7" s="518" t="s">
        <v>16</v>
      </c>
      <c r="I7" s="519" t="s">
        <v>30</v>
      </c>
    </row>
    <row r="8" spans="1:256">
      <c r="A8" s="517" t="s">
        <v>78</v>
      </c>
      <c r="B8" s="517" t="s">
        <v>79</v>
      </c>
      <c r="C8" s="517">
        <v>3</v>
      </c>
      <c r="D8" s="517">
        <v>4</v>
      </c>
      <c r="E8" s="517">
        <v>5</v>
      </c>
      <c r="F8" s="517">
        <v>6</v>
      </c>
      <c r="G8" s="517">
        <v>7</v>
      </c>
      <c r="H8" s="518">
        <v>8</v>
      </c>
      <c r="I8" s="519">
        <v>9</v>
      </c>
    </row>
    <row r="9" spans="1:256" ht="21" customHeight="1">
      <c r="A9" s="520"/>
      <c r="B9" s="521"/>
      <c r="C9" s="521" t="s">
        <v>93</v>
      </c>
      <c r="D9" s="521" t="s">
        <v>94</v>
      </c>
      <c r="E9" s="521"/>
      <c r="F9" s="522"/>
      <c r="G9" s="523"/>
      <c r="H9" s="523">
        <f>H10+H74+H87</f>
        <v>0</v>
      </c>
      <c r="I9" s="508"/>
    </row>
    <row r="10" spans="1:256" ht="13.5" customHeight="1">
      <c r="A10" s="524"/>
      <c r="B10" s="524"/>
      <c r="C10" s="525" t="s">
        <v>78</v>
      </c>
      <c r="D10" s="525" t="s">
        <v>95</v>
      </c>
      <c r="E10" s="526"/>
      <c r="F10" s="527"/>
      <c r="G10" s="528"/>
      <c r="H10" s="528">
        <f>SUM(H11:H73)</f>
        <v>0</v>
      </c>
      <c r="I10" s="529"/>
    </row>
    <row r="11" spans="1:256" ht="13.5" customHeight="1">
      <c r="A11" s="530">
        <v>1</v>
      </c>
      <c r="B11" s="34" t="s">
        <v>96</v>
      </c>
      <c r="C11" s="34">
        <v>115101201</v>
      </c>
      <c r="D11" s="34" t="s">
        <v>153</v>
      </c>
      <c r="E11" s="34" t="s">
        <v>151</v>
      </c>
      <c r="F11" s="531">
        <v>8</v>
      </c>
      <c r="G11" s="79"/>
      <c r="H11" s="532">
        <f t="shared" ref="H11:H16" si="0">F11*G11</f>
        <v>0</v>
      </c>
      <c r="I11" s="533" t="s">
        <v>738</v>
      </c>
      <c r="J11" s="317"/>
    </row>
    <row r="12" spans="1:256" ht="13.5" customHeight="1">
      <c r="A12" s="530">
        <v>2</v>
      </c>
      <c r="B12" s="34" t="s">
        <v>96</v>
      </c>
      <c r="C12" s="34">
        <v>115101301</v>
      </c>
      <c r="D12" s="34" t="s">
        <v>154</v>
      </c>
      <c r="E12" s="34" t="s">
        <v>155</v>
      </c>
      <c r="F12" s="531">
        <v>1</v>
      </c>
      <c r="G12" s="79"/>
      <c r="H12" s="532">
        <f t="shared" si="0"/>
        <v>0</v>
      </c>
      <c r="I12" s="533" t="s">
        <v>738</v>
      </c>
      <c r="J12" s="317"/>
    </row>
    <row r="13" spans="1:256" ht="13.5" customHeight="1">
      <c r="A13" s="530">
        <v>3</v>
      </c>
      <c r="B13" s="34" t="s">
        <v>96</v>
      </c>
      <c r="C13" s="34">
        <v>119001402</v>
      </c>
      <c r="D13" s="34" t="s">
        <v>156</v>
      </c>
      <c r="E13" s="34" t="s">
        <v>115</v>
      </c>
      <c r="F13" s="534">
        <v>1</v>
      </c>
      <c r="G13" s="79"/>
      <c r="H13" s="532">
        <f t="shared" si="0"/>
        <v>0</v>
      </c>
      <c r="I13" s="533" t="s">
        <v>738</v>
      </c>
    </row>
    <row r="14" spans="1:256" ht="13.5" customHeight="1">
      <c r="A14" s="530">
        <v>4</v>
      </c>
      <c r="B14" s="34" t="s">
        <v>96</v>
      </c>
      <c r="C14" s="34">
        <v>119001406</v>
      </c>
      <c r="D14" s="34" t="s">
        <v>157</v>
      </c>
      <c r="E14" s="34" t="s">
        <v>115</v>
      </c>
      <c r="F14" s="534">
        <v>1</v>
      </c>
      <c r="G14" s="79"/>
      <c r="H14" s="532">
        <f t="shared" si="0"/>
        <v>0</v>
      </c>
      <c r="I14" s="533" t="s">
        <v>738</v>
      </c>
    </row>
    <row r="15" spans="1:256" ht="13.5" customHeight="1">
      <c r="A15" s="530">
        <v>5</v>
      </c>
      <c r="B15" s="34" t="s">
        <v>96</v>
      </c>
      <c r="C15" s="34">
        <v>119001412</v>
      </c>
      <c r="D15" s="34" t="s">
        <v>158</v>
      </c>
      <c r="E15" s="34" t="s">
        <v>115</v>
      </c>
      <c r="F15" s="534">
        <v>1</v>
      </c>
      <c r="G15" s="79"/>
      <c r="H15" s="532">
        <f t="shared" si="0"/>
        <v>0</v>
      </c>
      <c r="I15" s="533" t="s">
        <v>738</v>
      </c>
    </row>
    <row r="16" spans="1:256" ht="13.5" customHeight="1">
      <c r="A16" s="530">
        <v>6</v>
      </c>
      <c r="B16" s="34" t="s">
        <v>96</v>
      </c>
      <c r="C16" s="34">
        <v>119001422</v>
      </c>
      <c r="D16" s="34" t="s">
        <v>159</v>
      </c>
      <c r="E16" s="34" t="s">
        <v>115</v>
      </c>
      <c r="F16" s="534">
        <v>3</v>
      </c>
      <c r="G16" s="79"/>
      <c r="H16" s="532">
        <f t="shared" si="0"/>
        <v>0</v>
      </c>
      <c r="I16" s="533" t="s">
        <v>738</v>
      </c>
    </row>
    <row r="17" spans="1:256" s="541" customFormat="1" ht="13.5" customHeight="1">
      <c r="A17" s="535">
        <v>7</v>
      </c>
      <c r="B17" s="536" t="s">
        <v>96</v>
      </c>
      <c r="C17" s="537">
        <v>121112003</v>
      </c>
      <c r="D17" s="537" t="s">
        <v>222</v>
      </c>
      <c r="E17" s="537" t="s">
        <v>98</v>
      </c>
      <c r="F17" s="538">
        <f>SUM(F18:F18)</f>
        <v>3.3000000000000003</v>
      </c>
      <c r="G17" s="90"/>
      <c r="H17" s="539">
        <f>F17*G17</f>
        <v>0</v>
      </c>
      <c r="I17" s="533" t="s">
        <v>738</v>
      </c>
      <c r="J17" s="540"/>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row>
    <row r="18" spans="1:256" s="541" customFormat="1" ht="13.5" customHeight="1">
      <c r="A18" s="535"/>
      <c r="B18" s="537"/>
      <c r="C18" s="537"/>
      <c r="D18" s="542" t="s">
        <v>520</v>
      </c>
      <c r="E18" s="537"/>
      <c r="F18" s="543">
        <f>(2.7+0.6)*1</f>
        <v>3.3000000000000003</v>
      </c>
      <c r="G18" s="544"/>
      <c r="H18" s="539"/>
      <c r="I18" s="545"/>
      <c r="J18" s="546"/>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row>
    <row r="19" spans="1:256" s="541" customFormat="1" ht="27" customHeight="1">
      <c r="A19" s="535"/>
      <c r="B19" s="537"/>
      <c r="C19" s="537"/>
      <c r="D19" s="542" t="s">
        <v>735</v>
      </c>
      <c r="E19" s="537"/>
      <c r="F19" s="543"/>
      <c r="G19" s="544"/>
      <c r="H19" s="539"/>
      <c r="I19" s="545"/>
      <c r="J19" s="546"/>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row>
    <row r="20" spans="1:256" ht="27" customHeight="1">
      <c r="A20" s="434"/>
      <c r="B20" s="435"/>
      <c r="C20" s="456"/>
      <c r="D20" s="547" t="s">
        <v>519</v>
      </c>
      <c r="E20" s="456"/>
      <c r="F20" s="548"/>
      <c r="G20" s="448"/>
      <c r="H20" s="448"/>
      <c r="I20" s="549"/>
      <c r="J20" s="550"/>
      <c r="K20" s="551"/>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509"/>
      <c r="AM20" s="509"/>
      <c r="AN20" s="509"/>
      <c r="AO20" s="509"/>
      <c r="AP20" s="509"/>
      <c r="AQ20" s="509"/>
      <c r="AR20" s="509"/>
      <c r="AS20" s="508"/>
      <c r="AT20" s="508"/>
      <c r="AU20" s="508"/>
      <c r="AV20" s="508"/>
      <c r="AW20" s="508"/>
      <c r="AX20" s="508"/>
      <c r="AY20" s="508"/>
      <c r="AZ20" s="508"/>
      <c r="BA20" s="508"/>
      <c r="BB20" s="508"/>
      <c r="BC20" s="508"/>
      <c r="BD20" s="508"/>
      <c r="BE20" s="508"/>
      <c r="BF20" s="508"/>
      <c r="BG20" s="508"/>
      <c r="BH20" s="508"/>
      <c r="BI20" s="508"/>
      <c r="BJ20" s="508"/>
      <c r="BK20" s="508"/>
      <c r="BL20" s="508"/>
      <c r="BM20" s="508"/>
      <c r="BN20" s="508"/>
      <c r="BO20" s="508"/>
      <c r="BP20" s="508"/>
      <c r="BQ20" s="508"/>
      <c r="BR20" s="508"/>
      <c r="BS20" s="508"/>
      <c r="BT20" s="508"/>
      <c r="BU20" s="508"/>
      <c r="BV20" s="508"/>
      <c r="BW20" s="508"/>
      <c r="BX20" s="508"/>
      <c r="BY20" s="508"/>
      <c r="BZ20" s="508"/>
      <c r="CA20" s="508"/>
      <c r="CB20" s="508"/>
      <c r="CC20" s="508"/>
      <c r="CD20" s="508"/>
      <c r="CE20" s="508"/>
      <c r="CF20" s="508"/>
      <c r="CG20" s="508"/>
      <c r="CH20" s="508"/>
      <c r="CI20" s="508"/>
      <c r="CJ20" s="508"/>
      <c r="CK20" s="508"/>
      <c r="CL20" s="508"/>
      <c r="CM20" s="508"/>
      <c r="CN20" s="508"/>
      <c r="CO20" s="508"/>
      <c r="CP20" s="508"/>
      <c r="CQ20" s="508"/>
      <c r="CR20" s="508"/>
      <c r="CS20" s="508"/>
      <c r="CT20" s="508"/>
      <c r="CU20" s="508"/>
      <c r="CV20" s="508"/>
      <c r="CW20" s="508"/>
      <c r="CX20" s="508"/>
      <c r="CY20" s="508"/>
      <c r="CZ20" s="508"/>
      <c r="DA20" s="508"/>
      <c r="DB20" s="508"/>
      <c r="DC20" s="508"/>
      <c r="DD20" s="508"/>
      <c r="DE20" s="508"/>
      <c r="DF20" s="508"/>
      <c r="DG20" s="508"/>
      <c r="DH20" s="508"/>
      <c r="DI20" s="508"/>
      <c r="DJ20" s="508"/>
      <c r="DK20" s="508"/>
      <c r="DL20" s="508"/>
      <c r="DM20" s="508"/>
      <c r="DN20" s="508"/>
      <c r="DO20" s="508"/>
      <c r="DP20" s="508"/>
      <c r="DQ20" s="508"/>
      <c r="DR20" s="508"/>
      <c r="DS20" s="508"/>
      <c r="DT20" s="508"/>
      <c r="DU20" s="508"/>
      <c r="DV20" s="508"/>
      <c r="DW20" s="508"/>
      <c r="DX20" s="508"/>
      <c r="DY20" s="508"/>
      <c r="DZ20" s="508"/>
      <c r="EA20" s="508"/>
      <c r="EB20" s="508"/>
      <c r="EC20" s="508"/>
      <c r="ED20" s="508"/>
      <c r="EE20" s="508"/>
      <c r="EF20" s="508"/>
      <c r="EG20" s="508"/>
      <c r="EH20" s="508"/>
      <c r="EI20" s="508"/>
      <c r="EJ20" s="508"/>
      <c r="EK20" s="508"/>
      <c r="EL20" s="508"/>
      <c r="EM20" s="508"/>
      <c r="EN20" s="508"/>
      <c r="EO20" s="508"/>
      <c r="EP20" s="508"/>
      <c r="EQ20" s="508"/>
      <c r="ER20" s="508"/>
      <c r="ES20" s="508"/>
      <c r="ET20" s="508"/>
      <c r="EU20" s="508"/>
      <c r="EV20" s="508"/>
      <c r="EW20" s="508"/>
      <c r="EX20" s="508"/>
      <c r="EY20" s="508"/>
      <c r="EZ20" s="508"/>
      <c r="FA20" s="508"/>
      <c r="FB20" s="508"/>
      <c r="FC20" s="508"/>
      <c r="FD20" s="508"/>
      <c r="FE20" s="508"/>
      <c r="FF20" s="508"/>
      <c r="FG20" s="508"/>
      <c r="FH20" s="508"/>
      <c r="FI20" s="508"/>
      <c r="FJ20" s="508"/>
      <c r="FK20" s="508"/>
      <c r="FL20" s="508"/>
      <c r="FM20" s="508"/>
      <c r="FN20" s="508"/>
      <c r="FO20" s="508"/>
      <c r="FP20" s="508"/>
      <c r="FQ20" s="508"/>
      <c r="FR20" s="508"/>
      <c r="FS20" s="508"/>
      <c r="FT20" s="508"/>
      <c r="FU20" s="508"/>
      <c r="FV20" s="508"/>
      <c r="FW20" s="508"/>
      <c r="FX20" s="508"/>
      <c r="FY20" s="508"/>
      <c r="FZ20" s="508"/>
      <c r="GA20" s="508"/>
      <c r="GB20" s="508"/>
      <c r="GC20" s="508"/>
      <c r="GD20" s="508"/>
      <c r="GE20" s="508"/>
      <c r="GF20" s="508"/>
      <c r="GG20" s="508"/>
      <c r="GH20" s="508"/>
      <c r="GI20" s="508"/>
      <c r="GJ20" s="508"/>
      <c r="GK20" s="508"/>
      <c r="GL20" s="508"/>
      <c r="GM20" s="508"/>
      <c r="GN20" s="508"/>
      <c r="GO20" s="508"/>
      <c r="GP20" s="508"/>
      <c r="GQ20" s="508"/>
      <c r="GR20" s="508"/>
      <c r="GS20" s="508"/>
      <c r="GT20" s="508"/>
      <c r="GU20" s="508"/>
      <c r="GV20" s="508"/>
      <c r="GW20" s="508"/>
      <c r="GX20" s="508"/>
      <c r="GY20" s="508"/>
      <c r="GZ20" s="508"/>
      <c r="HA20" s="508"/>
      <c r="HB20" s="508"/>
      <c r="HC20" s="508"/>
      <c r="HD20" s="508"/>
      <c r="HE20" s="508"/>
      <c r="HF20" s="508"/>
      <c r="HG20" s="508"/>
      <c r="HH20" s="508"/>
      <c r="HI20" s="508"/>
      <c r="HJ20" s="508"/>
      <c r="HK20" s="508"/>
      <c r="HL20" s="508"/>
      <c r="HM20" s="508"/>
      <c r="HN20" s="508"/>
      <c r="HO20" s="508"/>
      <c r="HP20" s="508"/>
      <c r="HQ20" s="508"/>
      <c r="HR20" s="508"/>
      <c r="HS20" s="508"/>
      <c r="HT20" s="508"/>
      <c r="HU20" s="508"/>
      <c r="HV20" s="508"/>
      <c r="HW20" s="508"/>
      <c r="HX20" s="508"/>
      <c r="HY20" s="508"/>
      <c r="HZ20" s="508"/>
      <c r="IA20" s="508"/>
      <c r="IB20" s="508"/>
      <c r="IC20" s="508"/>
      <c r="ID20" s="508"/>
      <c r="IE20" s="508"/>
      <c r="IF20" s="508"/>
      <c r="IG20" s="508"/>
      <c r="IH20" s="508"/>
      <c r="II20" s="508"/>
      <c r="IJ20" s="508"/>
      <c r="IK20" s="508"/>
      <c r="IL20" s="508"/>
      <c r="IM20" s="508"/>
      <c r="IN20" s="508"/>
      <c r="IO20" s="508"/>
      <c r="IP20" s="508"/>
      <c r="IQ20" s="508"/>
      <c r="IR20" s="508"/>
      <c r="IS20" s="508"/>
      <c r="IT20" s="508"/>
      <c r="IU20" s="508"/>
      <c r="IV20" s="508"/>
    </row>
    <row r="21" spans="1:256" ht="27" customHeight="1">
      <c r="A21" s="530">
        <v>8</v>
      </c>
      <c r="B21" s="34" t="s">
        <v>96</v>
      </c>
      <c r="C21" s="34">
        <v>132254102</v>
      </c>
      <c r="D21" s="34" t="s">
        <v>444</v>
      </c>
      <c r="E21" s="34" t="s">
        <v>122</v>
      </c>
      <c r="F21" s="534">
        <f>SUM(F23:F24)</f>
        <v>20.286000000000005</v>
      </c>
      <c r="G21" s="79"/>
      <c r="H21" s="532">
        <f t="shared" ref="H21" si="1">F21*G21</f>
        <v>0</v>
      </c>
      <c r="I21" s="533" t="s">
        <v>738</v>
      </c>
      <c r="J21" s="552"/>
    </row>
    <row r="22" spans="1:256" ht="13.5" customHeight="1">
      <c r="A22" s="530"/>
      <c r="B22" s="34"/>
      <c r="C22" s="36"/>
      <c r="D22" s="36" t="s">
        <v>547</v>
      </c>
      <c r="E22" s="36"/>
      <c r="F22" s="548"/>
      <c r="G22" s="553"/>
      <c r="H22" s="553"/>
      <c r="I22" s="533"/>
      <c r="J22" s="554"/>
    </row>
    <row r="23" spans="1:256" ht="13.5" customHeight="1">
      <c r="A23" s="530"/>
      <c r="B23" s="34"/>
      <c r="C23" s="36"/>
      <c r="D23" s="36" t="s">
        <v>523</v>
      </c>
      <c r="E23" s="36"/>
      <c r="F23" s="548">
        <f>((2.7+0.6)*0.8*1.75)*0.9</f>
        <v>4.1580000000000013</v>
      </c>
      <c r="G23" s="553"/>
      <c r="H23" s="553"/>
      <c r="I23" s="533"/>
      <c r="J23" s="554"/>
    </row>
    <row r="24" spans="1:256" ht="13.5" customHeight="1">
      <c r="A24" s="530"/>
      <c r="B24" s="34"/>
      <c r="C24" s="36"/>
      <c r="D24" s="36" t="s">
        <v>790</v>
      </c>
      <c r="E24" s="36"/>
      <c r="F24" s="548">
        <f>((16.1-3.3)*0.8*1.75)*0.9</f>
        <v>16.128000000000004</v>
      </c>
      <c r="G24" s="553"/>
      <c r="H24" s="553"/>
      <c r="I24" s="533"/>
      <c r="J24" s="373"/>
    </row>
    <row r="25" spans="1:256" s="563" customFormat="1" ht="40.5" customHeight="1">
      <c r="A25" s="555"/>
      <c r="B25" s="556"/>
      <c r="C25" s="557"/>
      <c r="D25" s="558" t="s">
        <v>572</v>
      </c>
      <c r="E25" s="557"/>
      <c r="F25" s="559"/>
      <c r="G25" s="560"/>
      <c r="H25" s="560"/>
      <c r="I25" s="561"/>
      <c r="J25" s="373"/>
      <c r="K25" s="562"/>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73"/>
      <c r="AL25" s="373"/>
      <c r="AM25" s="373"/>
      <c r="AN25" s="373"/>
      <c r="AO25" s="373"/>
      <c r="AP25" s="373"/>
      <c r="AQ25" s="373"/>
      <c r="AR25" s="373"/>
    </row>
    <row r="26" spans="1:256" ht="27" customHeight="1">
      <c r="A26" s="530">
        <v>9</v>
      </c>
      <c r="B26" s="34" t="s">
        <v>96</v>
      </c>
      <c r="C26" s="34">
        <v>132354101</v>
      </c>
      <c r="D26" s="34" t="s">
        <v>521</v>
      </c>
      <c r="E26" s="34" t="s">
        <v>122</v>
      </c>
      <c r="F26" s="534">
        <f>SUM(F28:F29)</f>
        <v>2.2540000000000004</v>
      </c>
      <c r="G26" s="79"/>
      <c r="H26" s="532">
        <f t="shared" ref="H26" si="2">F26*G26</f>
        <v>0</v>
      </c>
      <c r="I26" s="533" t="s">
        <v>738</v>
      </c>
      <c r="J26" s="552"/>
    </row>
    <row r="27" spans="1:256" ht="13.5" customHeight="1">
      <c r="A27" s="530"/>
      <c r="B27" s="34"/>
      <c r="C27" s="36"/>
      <c r="D27" s="36" t="s">
        <v>548</v>
      </c>
      <c r="E27" s="36"/>
      <c r="F27" s="548"/>
      <c r="G27" s="553"/>
      <c r="H27" s="553"/>
      <c r="I27" s="533"/>
      <c r="J27" s="554"/>
    </row>
    <row r="28" spans="1:256" ht="13.5" customHeight="1">
      <c r="A28" s="530"/>
      <c r="B28" s="34"/>
      <c r="C28" s="36"/>
      <c r="D28" s="36" t="s">
        <v>522</v>
      </c>
      <c r="E28" s="36"/>
      <c r="F28" s="548">
        <f>((2.7+0.6)*0.8*1.75)*0.1</f>
        <v>0.46200000000000013</v>
      </c>
      <c r="G28" s="553"/>
      <c r="H28" s="553"/>
      <c r="I28" s="533"/>
      <c r="J28" s="554"/>
    </row>
    <row r="29" spans="1:256" ht="13.5" customHeight="1">
      <c r="A29" s="530"/>
      <c r="B29" s="34"/>
      <c r="C29" s="36"/>
      <c r="D29" s="36" t="s">
        <v>791</v>
      </c>
      <c r="E29" s="36"/>
      <c r="F29" s="548">
        <f>((16.1-3.3)*0.8*1.75)*0.1</f>
        <v>1.7920000000000003</v>
      </c>
      <c r="G29" s="553"/>
      <c r="H29" s="553"/>
      <c r="I29" s="533"/>
      <c r="J29" s="373"/>
    </row>
    <row r="30" spans="1:256" s="563" customFormat="1" ht="40.5" customHeight="1">
      <c r="A30" s="555"/>
      <c r="B30" s="556"/>
      <c r="C30" s="557"/>
      <c r="D30" s="558" t="s">
        <v>572</v>
      </c>
      <c r="E30" s="557"/>
      <c r="F30" s="559"/>
      <c r="G30" s="560"/>
      <c r="H30" s="560"/>
      <c r="I30" s="561"/>
      <c r="J30" s="373"/>
      <c r="K30" s="562"/>
      <c r="L30" s="373"/>
      <c r="M30" s="373"/>
      <c r="N30" s="373"/>
      <c r="O30" s="373"/>
      <c r="P30" s="373"/>
      <c r="Q30" s="373"/>
      <c r="R30" s="373"/>
      <c r="S30" s="373"/>
      <c r="T30" s="373"/>
      <c r="U30" s="373"/>
      <c r="V30" s="373"/>
      <c r="W30" s="373"/>
      <c r="X30" s="373"/>
      <c r="Y30" s="373"/>
      <c r="Z30" s="373"/>
      <c r="AA30" s="373"/>
      <c r="AB30" s="373"/>
      <c r="AC30" s="373"/>
      <c r="AD30" s="373"/>
      <c r="AE30" s="373"/>
      <c r="AF30" s="373"/>
      <c r="AG30" s="373"/>
      <c r="AH30" s="373"/>
      <c r="AI30" s="373"/>
      <c r="AJ30" s="373"/>
      <c r="AK30" s="373"/>
      <c r="AL30" s="373"/>
      <c r="AM30" s="373"/>
      <c r="AN30" s="373"/>
      <c r="AO30" s="373"/>
      <c r="AP30" s="373"/>
      <c r="AQ30" s="373"/>
      <c r="AR30" s="373"/>
    </row>
    <row r="31" spans="1:256" ht="13.5" customHeight="1">
      <c r="A31" s="530">
        <v>10</v>
      </c>
      <c r="B31" s="34" t="s">
        <v>96</v>
      </c>
      <c r="C31" s="34">
        <v>139001101</v>
      </c>
      <c r="D31" s="34" t="s">
        <v>160</v>
      </c>
      <c r="E31" s="34" t="s">
        <v>122</v>
      </c>
      <c r="F31" s="534">
        <f>F32</f>
        <v>2.254</v>
      </c>
      <c r="G31" s="79"/>
      <c r="H31" s="532">
        <f>F31*G31</f>
        <v>0</v>
      </c>
      <c r="I31" s="533" t="s">
        <v>738</v>
      </c>
    </row>
    <row r="32" spans="1:256" ht="13.5" customHeight="1">
      <c r="A32" s="530"/>
      <c r="B32" s="34"/>
      <c r="C32" s="36"/>
      <c r="D32" s="36" t="s">
        <v>792</v>
      </c>
      <c r="E32" s="36"/>
      <c r="F32" s="548">
        <f>(20.29+2.25)*0.1</f>
        <v>2.254</v>
      </c>
      <c r="G32" s="553"/>
      <c r="H32" s="553"/>
      <c r="I32" s="533"/>
    </row>
    <row r="33" spans="1:44" ht="13.5" customHeight="1">
      <c r="A33" s="530">
        <v>11</v>
      </c>
      <c r="B33" s="34" t="s">
        <v>96</v>
      </c>
      <c r="C33" s="34">
        <v>151101101</v>
      </c>
      <c r="D33" s="34" t="s">
        <v>169</v>
      </c>
      <c r="E33" s="34" t="s">
        <v>98</v>
      </c>
      <c r="F33" s="534">
        <f>SUM(F34:F34)</f>
        <v>28.175000000000004</v>
      </c>
      <c r="G33" s="79"/>
      <c r="H33" s="532">
        <f>F33*G33</f>
        <v>0</v>
      </c>
      <c r="I33" s="533" t="s">
        <v>738</v>
      </c>
    </row>
    <row r="34" spans="1:44" ht="13.5" customHeight="1">
      <c r="A34" s="530"/>
      <c r="B34" s="34"/>
      <c r="C34" s="36"/>
      <c r="D34" s="36" t="s">
        <v>793</v>
      </c>
      <c r="E34" s="36"/>
      <c r="F34" s="548">
        <f>((16.1)*1.75*2)*0.5</f>
        <v>28.175000000000004</v>
      </c>
      <c r="G34" s="553"/>
      <c r="H34" s="553"/>
      <c r="I34" s="533"/>
    </row>
    <row r="35" spans="1:44" ht="13.5" customHeight="1">
      <c r="A35" s="530">
        <v>12</v>
      </c>
      <c r="B35" s="34" t="s">
        <v>96</v>
      </c>
      <c r="C35" s="34">
        <v>151101111</v>
      </c>
      <c r="D35" s="34" t="s">
        <v>170</v>
      </c>
      <c r="E35" s="34" t="s">
        <v>98</v>
      </c>
      <c r="F35" s="534">
        <f>F33</f>
        <v>28.175000000000004</v>
      </c>
      <c r="G35" s="79"/>
      <c r="H35" s="532">
        <f>F35*G35</f>
        <v>0</v>
      </c>
      <c r="I35" s="533" t="s">
        <v>738</v>
      </c>
    </row>
    <row r="36" spans="1:44" ht="13.5" customHeight="1">
      <c r="A36" s="530">
        <v>13</v>
      </c>
      <c r="B36" s="34" t="s">
        <v>96</v>
      </c>
      <c r="C36" s="34">
        <v>174151101</v>
      </c>
      <c r="D36" s="34" t="s">
        <v>161</v>
      </c>
      <c r="E36" s="34" t="s">
        <v>122</v>
      </c>
      <c r="F36" s="534">
        <f>SUM(F37:F38)</f>
        <v>22.540000000000003</v>
      </c>
      <c r="G36" s="79"/>
      <c r="H36" s="532">
        <f>F36*G36</f>
        <v>0</v>
      </c>
      <c r="I36" s="533" t="s">
        <v>738</v>
      </c>
    </row>
    <row r="37" spans="1:44" ht="13.5" customHeight="1">
      <c r="A37" s="530"/>
      <c r="B37" s="34"/>
      <c r="C37" s="36"/>
      <c r="D37" s="36" t="s">
        <v>606</v>
      </c>
      <c r="E37" s="36"/>
      <c r="F37" s="548">
        <f>(3.3)*0.8*1.75</f>
        <v>4.62</v>
      </c>
      <c r="G37" s="553"/>
      <c r="H37" s="553"/>
      <c r="I37" s="533"/>
    </row>
    <row r="38" spans="1:44" ht="27" customHeight="1">
      <c r="A38" s="530"/>
      <c r="B38" s="34"/>
      <c r="C38" s="36"/>
      <c r="D38" s="36" t="s">
        <v>794</v>
      </c>
      <c r="E38" s="36"/>
      <c r="F38" s="548">
        <f>(16.1-3.3)*0.8*1.75</f>
        <v>17.920000000000002</v>
      </c>
      <c r="G38" s="553"/>
      <c r="H38" s="553"/>
      <c r="I38" s="533"/>
    </row>
    <row r="39" spans="1:44" s="541" customFormat="1" ht="27" customHeight="1">
      <c r="A39" s="564" t="s">
        <v>298</v>
      </c>
      <c r="B39" s="536" t="s">
        <v>126</v>
      </c>
      <c r="C39" s="537">
        <v>181111121</v>
      </c>
      <c r="D39" s="537" t="s">
        <v>127</v>
      </c>
      <c r="E39" s="537" t="s">
        <v>98</v>
      </c>
      <c r="F39" s="565">
        <f>SUM(F40:F41)</f>
        <v>13.540000000000003</v>
      </c>
      <c r="G39" s="90"/>
      <c r="H39" s="539">
        <f>F39*G39</f>
        <v>0</v>
      </c>
      <c r="I39" s="533" t="s">
        <v>738</v>
      </c>
      <c r="J39" s="566"/>
      <c r="K39" s="452"/>
      <c r="L39" s="452"/>
      <c r="M39" s="452"/>
      <c r="N39" s="452"/>
      <c r="O39" s="452"/>
      <c r="P39" s="452"/>
      <c r="Q39" s="452"/>
      <c r="R39" s="452"/>
      <c r="S39" s="452"/>
      <c r="T39" s="452"/>
      <c r="U39" s="452"/>
      <c r="V39" s="452"/>
      <c r="W39" s="452"/>
      <c r="X39" s="452"/>
      <c r="Y39" s="452"/>
      <c r="Z39" s="452"/>
      <c r="AA39" s="452"/>
      <c r="AB39" s="452"/>
      <c r="AC39" s="452"/>
      <c r="AD39" s="452"/>
      <c r="AE39" s="452"/>
      <c r="AF39" s="452"/>
      <c r="AG39" s="452"/>
      <c r="AH39" s="452"/>
      <c r="AI39" s="452"/>
      <c r="AJ39" s="452"/>
      <c r="AK39" s="452"/>
      <c r="AL39" s="452"/>
      <c r="AM39" s="452"/>
      <c r="AN39" s="452"/>
      <c r="AO39" s="452"/>
      <c r="AP39" s="452"/>
      <c r="AQ39" s="452"/>
      <c r="AR39" s="452"/>
    </row>
    <row r="40" spans="1:44" s="541" customFormat="1" ht="13.5" customHeight="1">
      <c r="A40" s="564"/>
      <c r="B40" s="536"/>
      <c r="C40" s="537"/>
      <c r="D40" s="542" t="s">
        <v>524</v>
      </c>
      <c r="E40" s="537"/>
      <c r="F40" s="543">
        <f>(2.7+0.6)*1</f>
        <v>3.3000000000000003</v>
      </c>
      <c r="G40" s="539"/>
      <c r="H40" s="539"/>
      <c r="I40" s="545"/>
      <c r="J40" s="546"/>
      <c r="K40" s="567"/>
      <c r="L40" s="452"/>
      <c r="M40" s="567"/>
      <c r="N40" s="567"/>
      <c r="O40" s="452"/>
      <c r="P40" s="452"/>
      <c r="Q40" s="452"/>
      <c r="R40" s="452"/>
      <c r="S40" s="452"/>
      <c r="T40" s="452"/>
      <c r="U40" s="452"/>
      <c r="V40" s="452"/>
      <c r="W40" s="452"/>
      <c r="X40" s="452"/>
      <c r="Y40" s="452"/>
      <c r="Z40" s="452"/>
      <c r="AA40" s="452"/>
      <c r="AB40" s="452"/>
      <c r="AC40" s="452"/>
      <c r="AD40" s="452"/>
      <c r="AE40" s="452"/>
      <c r="AF40" s="452"/>
      <c r="AG40" s="452"/>
      <c r="AH40" s="452"/>
      <c r="AI40" s="452"/>
      <c r="AJ40" s="452"/>
      <c r="AK40" s="452"/>
      <c r="AL40" s="452"/>
      <c r="AM40" s="452"/>
      <c r="AN40" s="452"/>
      <c r="AO40" s="452"/>
      <c r="AP40" s="452"/>
      <c r="AQ40" s="452"/>
      <c r="AR40" s="452"/>
    </row>
    <row r="41" spans="1:44" s="541" customFormat="1" ht="13.5" customHeight="1">
      <c r="A41" s="564"/>
      <c r="B41" s="536"/>
      <c r="C41" s="537"/>
      <c r="D41" s="542" t="s">
        <v>795</v>
      </c>
      <c r="E41" s="537"/>
      <c r="F41" s="543">
        <f>(16.1-3.3)*0.8</f>
        <v>10.240000000000002</v>
      </c>
      <c r="G41" s="539"/>
      <c r="H41" s="539"/>
      <c r="I41" s="545"/>
      <c r="J41" s="567"/>
      <c r="K41" s="567"/>
      <c r="L41" s="452"/>
      <c r="M41" s="567"/>
      <c r="N41" s="567"/>
      <c r="O41" s="452"/>
      <c r="P41" s="452"/>
      <c r="Q41" s="452"/>
      <c r="R41" s="452"/>
      <c r="S41" s="452"/>
      <c r="T41" s="452"/>
      <c r="U41" s="452"/>
      <c r="V41" s="452"/>
      <c r="W41" s="452"/>
      <c r="X41" s="452"/>
      <c r="Y41" s="452"/>
      <c r="Z41" s="452"/>
      <c r="AA41" s="452"/>
      <c r="AB41" s="452"/>
      <c r="AC41" s="452"/>
      <c r="AD41" s="452"/>
      <c r="AE41" s="452"/>
      <c r="AF41" s="452"/>
      <c r="AG41" s="452"/>
      <c r="AH41" s="452"/>
      <c r="AI41" s="452"/>
      <c r="AJ41" s="452"/>
      <c r="AK41" s="452"/>
      <c r="AL41" s="452"/>
      <c r="AM41" s="452"/>
      <c r="AN41" s="452"/>
      <c r="AO41" s="452"/>
      <c r="AP41" s="452"/>
      <c r="AQ41" s="452"/>
      <c r="AR41" s="452"/>
    </row>
    <row r="42" spans="1:44" s="541" customFormat="1" ht="13.5" customHeight="1">
      <c r="A42" s="564" t="s">
        <v>299</v>
      </c>
      <c r="B42" s="536" t="s">
        <v>96</v>
      </c>
      <c r="C42" s="537">
        <v>181311103</v>
      </c>
      <c r="D42" s="537" t="s">
        <v>223</v>
      </c>
      <c r="E42" s="537" t="s">
        <v>98</v>
      </c>
      <c r="F42" s="565">
        <f>SUM(F43)</f>
        <v>3.3000000000000003</v>
      </c>
      <c r="G42" s="90"/>
      <c r="H42" s="539">
        <f>F42*G42</f>
        <v>0</v>
      </c>
      <c r="I42" s="533" t="s">
        <v>738</v>
      </c>
      <c r="J42" s="546"/>
      <c r="K42" s="452"/>
      <c r="L42" s="452"/>
      <c r="M42" s="452"/>
      <c r="N42" s="452"/>
      <c r="O42" s="452"/>
      <c r="P42" s="452"/>
      <c r="Q42" s="452"/>
      <c r="R42" s="452"/>
      <c r="S42" s="452"/>
      <c r="T42" s="452"/>
      <c r="U42" s="452"/>
      <c r="V42" s="452"/>
      <c r="W42" s="452"/>
      <c r="X42" s="452"/>
      <c r="Y42" s="452"/>
      <c r="Z42" s="452"/>
      <c r="AA42" s="452"/>
      <c r="AB42" s="452"/>
      <c r="AC42" s="452"/>
      <c r="AD42" s="452"/>
      <c r="AE42" s="452"/>
      <c r="AF42" s="452"/>
      <c r="AG42" s="452"/>
      <c r="AH42" s="452"/>
      <c r="AI42" s="452"/>
      <c r="AJ42" s="452"/>
      <c r="AK42" s="452"/>
      <c r="AL42" s="452"/>
      <c r="AM42" s="452"/>
      <c r="AN42" s="452"/>
      <c r="AO42" s="452"/>
      <c r="AP42" s="452"/>
      <c r="AQ42" s="452"/>
      <c r="AR42" s="452"/>
    </row>
    <row r="43" spans="1:44" s="541" customFormat="1" ht="13.5" customHeight="1">
      <c r="A43" s="564"/>
      <c r="B43" s="536"/>
      <c r="C43" s="537"/>
      <c r="D43" s="542" t="s">
        <v>525</v>
      </c>
      <c r="E43" s="537"/>
      <c r="F43" s="543">
        <f>(2.7+0.6)*1</f>
        <v>3.3000000000000003</v>
      </c>
      <c r="G43" s="539"/>
      <c r="H43" s="539"/>
      <c r="I43" s="545"/>
      <c r="J43" s="546"/>
      <c r="K43" s="567"/>
      <c r="L43" s="452"/>
      <c r="M43" s="452"/>
      <c r="N43" s="452"/>
      <c r="O43" s="452"/>
      <c r="P43" s="452"/>
      <c r="Q43" s="452"/>
      <c r="R43" s="452"/>
      <c r="S43" s="452"/>
      <c r="T43" s="452"/>
      <c r="U43" s="452"/>
      <c r="V43" s="452"/>
      <c r="W43" s="452"/>
      <c r="X43" s="452"/>
      <c r="Y43" s="452"/>
      <c r="Z43" s="452"/>
      <c r="AA43" s="452"/>
      <c r="AB43" s="452"/>
      <c r="AC43" s="452"/>
      <c r="AD43" s="452"/>
      <c r="AE43" s="452"/>
      <c r="AF43" s="452"/>
      <c r="AG43" s="452"/>
      <c r="AH43" s="452"/>
      <c r="AI43" s="452"/>
      <c r="AJ43" s="452"/>
      <c r="AK43" s="452"/>
      <c r="AL43" s="452"/>
      <c r="AM43" s="452"/>
      <c r="AN43" s="452"/>
      <c r="AO43" s="452"/>
      <c r="AP43" s="452"/>
      <c r="AQ43" s="452"/>
      <c r="AR43" s="452"/>
    </row>
    <row r="44" spans="1:44" s="541" customFormat="1" ht="13.5" customHeight="1">
      <c r="A44" s="564" t="s">
        <v>300</v>
      </c>
      <c r="B44" s="537">
        <v>231</v>
      </c>
      <c r="C44" s="537">
        <v>183403153</v>
      </c>
      <c r="D44" s="537" t="s">
        <v>212</v>
      </c>
      <c r="E44" s="537" t="s">
        <v>98</v>
      </c>
      <c r="F44" s="565">
        <f>SUM(F45:F45)</f>
        <v>3.3</v>
      </c>
      <c r="G44" s="90"/>
      <c r="H44" s="539">
        <f>F44*G44</f>
        <v>0</v>
      </c>
      <c r="I44" s="533" t="s">
        <v>738</v>
      </c>
      <c r="J44" s="568"/>
      <c r="K44" s="569"/>
      <c r="L44" s="569"/>
      <c r="M44" s="569"/>
      <c r="N44" s="569"/>
      <c r="O44" s="570"/>
      <c r="P44" s="571"/>
      <c r="Q44" s="572"/>
      <c r="R44" s="573"/>
      <c r="S44" s="573"/>
      <c r="T44" s="574"/>
      <c r="U44" s="452"/>
      <c r="V44" s="575"/>
      <c r="W44" s="452"/>
      <c r="X44" s="452"/>
      <c r="Y44" s="452"/>
      <c r="Z44" s="452"/>
      <c r="AA44" s="452"/>
      <c r="AB44" s="452"/>
      <c r="AC44" s="452"/>
      <c r="AD44" s="452"/>
      <c r="AE44" s="452"/>
      <c r="AF44" s="452"/>
      <c r="AG44" s="452"/>
      <c r="AH44" s="452"/>
      <c r="AI44" s="452"/>
      <c r="AJ44" s="452"/>
      <c r="AK44" s="452"/>
      <c r="AL44" s="452"/>
      <c r="AM44" s="452"/>
      <c r="AN44" s="452"/>
      <c r="AO44" s="452"/>
      <c r="AP44" s="452"/>
      <c r="AQ44" s="452"/>
      <c r="AR44" s="452"/>
    </row>
    <row r="45" spans="1:44" s="541" customFormat="1" ht="13.5" customHeight="1">
      <c r="A45" s="564"/>
      <c r="B45" s="576"/>
      <c r="C45" s="576"/>
      <c r="D45" s="542" t="s">
        <v>827</v>
      </c>
      <c r="E45" s="576"/>
      <c r="F45" s="543">
        <f>(3.3)*1</f>
        <v>3.3</v>
      </c>
      <c r="G45" s="577"/>
      <c r="H45" s="539"/>
      <c r="I45" s="545"/>
      <c r="J45" s="567"/>
      <c r="K45" s="567"/>
      <c r="L45" s="578"/>
      <c r="M45" s="569"/>
      <c r="N45" s="569"/>
      <c r="O45" s="570"/>
      <c r="P45" s="571"/>
      <c r="Q45" s="572"/>
      <c r="R45" s="573"/>
      <c r="S45" s="573"/>
      <c r="T45" s="574"/>
      <c r="U45" s="452"/>
      <c r="V45" s="575"/>
      <c r="W45" s="452"/>
      <c r="X45" s="452"/>
      <c r="Y45" s="452"/>
      <c r="Z45" s="452"/>
      <c r="AA45" s="452"/>
      <c r="AB45" s="452"/>
      <c r="AC45" s="452"/>
      <c r="AD45" s="452"/>
      <c r="AE45" s="452"/>
      <c r="AF45" s="452"/>
      <c r="AG45" s="452"/>
      <c r="AH45" s="452"/>
      <c r="AI45" s="452"/>
      <c r="AJ45" s="452"/>
      <c r="AK45" s="452"/>
      <c r="AL45" s="452"/>
      <c r="AM45" s="452"/>
      <c r="AN45" s="452"/>
      <c r="AO45" s="452"/>
      <c r="AP45" s="452"/>
      <c r="AQ45" s="452"/>
      <c r="AR45" s="452"/>
    </row>
    <row r="46" spans="1:44" s="541" customFormat="1" ht="13.5" customHeight="1">
      <c r="A46" s="564" t="s">
        <v>540</v>
      </c>
      <c r="B46" s="537">
        <v>231</v>
      </c>
      <c r="C46" s="537">
        <v>183403161</v>
      </c>
      <c r="D46" s="537" t="s">
        <v>213</v>
      </c>
      <c r="E46" s="537" t="s">
        <v>98</v>
      </c>
      <c r="F46" s="565">
        <f>SUM(F47:F47)</f>
        <v>3.3</v>
      </c>
      <c r="G46" s="90"/>
      <c r="H46" s="539">
        <f>F46*G46</f>
        <v>0</v>
      </c>
      <c r="I46" s="533" t="s">
        <v>738</v>
      </c>
      <c r="J46" s="568"/>
      <c r="K46" s="569"/>
      <c r="L46" s="569"/>
      <c r="M46" s="569"/>
      <c r="N46" s="569"/>
      <c r="O46" s="570"/>
      <c r="P46" s="571"/>
      <c r="Q46" s="572"/>
      <c r="R46" s="573"/>
      <c r="S46" s="573"/>
      <c r="T46" s="574"/>
      <c r="U46" s="452"/>
      <c r="V46" s="575"/>
      <c r="W46" s="452"/>
      <c r="X46" s="452"/>
      <c r="Y46" s="452"/>
      <c r="Z46" s="452"/>
      <c r="AA46" s="452"/>
      <c r="AB46" s="452"/>
      <c r="AC46" s="452"/>
      <c r="AD46" s="452"/>
      <c r="AE46" s="452"/>
      <c r="AF46" s="452"/>
      <c r="AG46" s="452"/>
      <c r="AH46" s="452"/>
      <c r="AI46" s="452"/>
      <c r="AJ46" s="452"/>
      <c r="AK46" s="452"/>
      <c r="AL46" s="452"/>
      <c r="AM46" s="452"/>
      <c r="AN46" s="452"/>
      <c r="AO46" s="452"/>
      <c r="AP46" s="452"/>
      <c r="AQ46" s="452"/>
      <c r="AR46" s="452"/>
    </row>
    <row r="47" spans="1:44" s="541" customFormat="1" ht="13.5" customHeight="1">
      <c r="A47" s="564"/>
      <c r="B47" s="537"/>
      <c r="C47" s="537"/>
      <c r="D47" s="542" t="s">
        <v>826</v>
      </c>
      <c r="E47" s="576"/>
      <c r="F47" s="543">
        <f>(3.3)*1</f>
        <v>3.3</v>
      </c>
      <c r="G47" s="539"/>
      <c r="H47" s="539"/>
      <c r="I47" s="545"/>
      <c r="J47" s="567"/>
      <c r="K47" s="567"/>
      <c r="L47" s="569"/>
      <c r="M47" s="569"/>
      <c r="N47" s="569"/>
      <c r="O47" s="570"/>
      <c r="P47" s="571"/>
      <c r="Q47" s="572"/>
      <c r="R47" s="573"/>
      <c r="S47" s="573"/>
      <c r="T47" s="574"/>
      <c r="U47" s="452"/>
      <c r="V47" s="575"/>
      <c r="W47" s="452"/>
      <c r="X47" s="452"/>
      <c r="Y47" s="452"/>
      <c r="Z47" s="452"/>
      <c r="AA47" s="452"/>
      <c r="AB47" s="452"/>
      <c r="AC47" s="452"/>
      <c r="AD47" s="452"/>
      <c r="AE47" s="452"/>
      <c r="AF47" s="452"/>
      <c r="AG47" s="452"/>
      <c r="AH47" s="452"/>
      <c r="AI47" s="452"/>
      <c r="AJ47" s="452"/>
      <c r="AK47" s="452"/>
      <c r="AL47" s="452"/>
      <c r="AM47" s="452"/>
      <c r="AN47" s="452"/>
      <c r="AO47" s="452"/>
      <c r="AP47" s="452"/>
      <c r="AQ47" s="452"/>
      <c r="AR47" s="452"/>
    </row>
    <row r="48" spans="1:44" s="541" customFormat="1" ht="27" customHeight="1">
      <c r="A48" s="535">
        <v>18</v>
      </c>
      <c r="B48" s="536" t="s">
        <v>126</v>
      </c>
      <c r="C48" s="537">
        <v>183451351</v>
      </c>
      <c r="D48" s="579" t="s">
        <v>226</v>
      </c>
      <c r="E48" s="537" t="s">
        <v>98</v>
      </c>
      <c r="F48" s="565">
        <f>SUM(F49)</f>
        <v>3.3</v>
      </c>
      <c r="G48" s="90"/>
      <c r="H48" s="539">
        <f>F48*G48</f>
        <v>0</v>
      </c>
      <c r="I48" s="533" t="s">
        <v>738</v>
      </c>
      <c r="J48" s="580"/>
      <c r="K48" s="581"/>
      <c r="L48" s="582"/>
      <c r="M48" s="582"/>
      <c r="N48" s="583"/>
      <c r="O48" s="582"/>
      <c r="P48" s="584"/>
      <c r="Q48" s="585"/>
      <c r="R48" s="586"/>
      <c r="S48" s="452"/>
      <c r="T48" s="452"/>
      <c r="U48" s="452"/>
      <c r="V48" s="587"/>
      <c r="W48" s="452"/>
      <c r="X48" s="452"/>
      <c r="Y48" s="452"/>
      <c r="Z48" s="452"/>
      <c r="AA48" s="452"/>
      <c r="AB48" s="452"/>
      <c r="AC48" s="452"/>
      <c r="AD48" s="452"/>
      <c r="AE48" s="452"/>
      <c r="AF48" s="452"/>
      <c r="AG48" s="452"/>
      <c r="AH48" s="452"/>
      <c r="AI48" s="452"/>
      <c r="AJ48" s="452"/>
      <c r="AK48" s="452"/>
      <c r="AL48" s="452"/>
      <c r="AM48" s="452"/>
      <c r="AN48" s="452"/>
      <c r="AO48" s="452"/>
      <c r="AP48" s="452"/>
      <c r="AQ48" s="452"/>
      <c r="AR48" s="452"/>
    </row>
    <row r="49" spans="1:44" s="541" customFormat="1" ht="27" customHeight="1">
      <c r="A49" s="588"/>
      <c r="B49" s="589"/>
      <c r="C49" s="589"/>
      <c r="D49" s="542" t="s">
        <v>526</v>
      </c>
      <c r="E49" s="537"/>
      <c r="F49" s="543">
        <f>3.3*1</f>
        <v>3.3</v>
      </c>
      <c r="G49" s="590"/>
      <c r="H49" s="590"/>
      <c r="I49" s="591"/>
      <c r="J49" s="580"/>
      <c r="K49" s="581"/>
      <c r="L49" s="582"/>
      <c r="M49" s="582"/>
      <c r="N49" s="583"/>
      <c r="O49" s="582"/>
      <c r="P49" s="584"/>
      <c r="Q49" s="585"/>
      <c r="R49" s="586"/>
      <c r="S49" s="452"/>
      <c r="T49" s="452"/>
      <c r="U49" s="452"/>
      <c r="V49" s="587"/>
      <c r="W49" s="452"/>
      <c r="X49" s="452"/>
      <c r="Y49" s="452"/>
      <c r="Z49" s="452"/>
      <c r="AA49" s="452"/>
      <c r="AB49" s="452"/>
      <c r="AC49" s="452"/>
      <c r="AD49" s="452"/>
      <c r="AE49" s="452"/>
      <c r="AF49" s="452"/>
      <c r="AG49" s="452"/>
      <c r="AH49" s="452"/>
      <c r="AI49" s="452"/>
      <c r="AJ49" s="452"/>
      <c r="AK49" s="452"/>
      <c r="AL49" s="452"/>
      <c r="AM49" s="452"/>
      <c r="AN49" s="452"/>
      <c r="AO49" s="452"/>
      <c r="AP49" s="452"/>
      <c r="AQ49" s="452"/>
      <c r="AR49" s="452"/>
    </row>
    <row r="50" spans="1:44" s="541" customFormat="1" ht="13.5" customHeight="1">
      <c r="A50" s="535">
        <v>19</v>
      </c>
      <c r="B50" s="536" t="s">
        <v>126</v>
      </c>
      <c r="C50" s="537">
        <v>183451431</v>
      </c>
      <c r="D50" s="579" t="s">
        <v>227</v>
      </c>
      <c r="E50" s="537" t="s">
        <v>98</v>
      </c>
      <c r="F50" s="565">
        <f>SUM(F51)</f>
        <v>3.3</v>
      </c>
      <c r="G50" s="90"/>
      <c r="H50" s="539">
        <f>F50*G50</f>
        <v>0</v>
      </c>
      <c r="I50" s="533" t="s">
        <v>738</v>
      </c>
      <c r="J50" s="580"/>
      <c r="K50" s="581"/>
      <c r="L50" s="582"/>
      <c r="M50" s="582"/>
      <c r="N50" s="583"/>
      <c r="O50" s="582"/>
      <c r="P50" s="584"/>
      <c r="Q50" s="585"/>
      <c r="R50" s="586"/>
      <c r="S50" s="452"/>
      <c r="T50" s="452"/>
      <c r="U50" s="452"/>
      <c r="V50" s="587"/>
      <c r="W50" s="452"/>
      <c r="X50" s="452"/>
      <c r="Y50" s="452"/>
      <c r="Z50" s="452"/>
      <c r="AA50" s="452"/>
      <c r="AB50" s="452"/>
      <c r="AC50" s="452"/>
      <c r="AD50" s="452"/>
      <c r="AE50" s="452"/>
      <c r="AF50" s="452"/>
      <c r="AG50" s="452"/>
      <c r="AH50" s="452"/>
      <c r="AI50" s="452"/>
      <c r="AJ50" s="452"/>
      <c r="AK50" s="452"/>
      <c r="AL50" s="452"/>
      <c r="AM50" s="452"/>
      <c r="AN50" s="452"/>
      <c r="AO50" s="452"/>
      <c r="AP50" s="452"/>
      <c r="AQ50" s="452"/>
      <c r="AR50" s="452"/>
    </row>
    <row r="51" spans="1:44" s="541" customFormat="1" ht="13.5" customHeight="1">
      <c r="A51" s="588"/>
      <c r="B51" s="589"/>
      <c r="C51" s="589"/>
      <c r="D51" s="542" t="s">
        <v>527</v>
      </c>
      <c r="E51" s="537"/>
      <c r="F51" s="543">
        <f>3.3*1</f>
        <v>3.3</v>
      </c>
      <c r="G51" s="590"/>
      <c r="H51" s="590"/>
      <c r="I51" s="591"/>
      <c r="J51" s="580"/>
      <c r="K51" s="581"/>
      <c r="L51" s="582"/>
      <c r="M51" s="582"/>
      <c r="N51" s="583"/>
      <c r="O51" s="582"/>
      <c r="P51" s="584"/>
      <c r="Q51" s="585"/>
      <c r="R51" s="586"/>
      <c r="S51" s="452"/>
      <c r="T51" s="452"/>
      <c r="U51" s="452"/>
      <c r="V51" s="587"/>
      <c r="W51" s="452"/>
      <c r="X51" s="452"/>
      <c r="Y51" s="452"/>
      <c r="Z51" s="452"/>
      <c r="AA51" s="452"/>
      <c r="AB51" s="452"/>
      <c r="AC51" s="452"/>
      <c r="AD51" s="452"/>
      <c r="AE51" s="452"/>
      <c r="AF51" s="452"/>
      <c r="AG51" s="452"/>
      <c r="AH51" s="452"/>
      <c r="AI51" s="452"/>
      <c r="AJ51" s="452"/>
      <c r="AK51" s="452"/>
      <c r="AL51" s="452"/>
      <c r="AM51" s="452"/>
      <c r="AN51" s="452"/>
      <c r="AO51" s="452"/>
      <c r="AP51" s="452"/>
      <c r="AQ51" s="452"/>
      <c r="AR51" s="452"/>
    </row>
    <row r="52" spans="1:44" s="541" customFormat="1" ht="13.5" customHeight="1">
      <c r="A52" s="588">
        <v>20</v>
      </c>
      <c r="B52" s="589" t="s">
        <v>224</v>
      </c>
      <c r="C52" s="589" t="s">
        <v>228</v>
      </c>
      <c r="D52" s="592" t="s">
        <v>225</v>
      </c>
      <c r="E52" s="593" t="s">
        <v>220</v>
      </c>
      <c r="F52" s="594">
        <f>SUM(F53:F54)</f>
        <v>3.3000000000000002E-2</v>
      </c>
      <c r="G52" s="91"/>
      <c r="H52" s="590">
        <f>F52*G52</f>
        <v>0</v>
      </c>
      <c r="I52" s="591" t="s">
        <v>738</v>
      </c>
      <c r="J52" s="580"/>
      <c r="K52" s="581"/>
      <c r="L52" s="582"/>
      <c r="M52" s="582"/>
      <c r="N52" s="583"/>
      <c r="O52" s="582"/>
      <c r="P52" s="584"/>
      <c r="Q52" s="585"/>
      <c r="R52" s="586"/>
      <c r="S52" s="452"/>
      <c r="T52" s="452"/>
      <c r="U52" s="452"/>
      <c r="V52" s="587"/>
      <c r="W52" s="452"/>
      <c r="X52" s="452"/>
      <c r="Y52" s="452"/>
      <c r="Z52" s="452"/>
      <c r="AA52" s="452"/>
      <c r="AB52" s="452"/>
      <c r="AC52" s="452"/>
      <c r="AD52" s="452"/>
      <c r="AE52" s="452"/>
      <c r="AF52" s="452"/>
      <c r="AG52" s="452"/>
      <c r="AH52" s="452"/>
      <c r="AI52" s="452"/>
      <c r="AJ52" s="452"/>
      <c r="AK52" s="452"/>
      <c r="AL52" s="452"/>
      <c r="AM52" s="452"/>
      <c r="AN52" s="452"/>
      <c r="AO52" s="452"/>
      <c r="AP52" s="452"/>
      <c r="AQ52" s="452"/>
      <c r="AR52" s="452"/>
    </row>
    <row r="53" spans="1:44" s="541" customFormat="1" ht="27" customHeight="1">
      <c r="A53" s="595"/>
      <c r="B53" s="596"/>
      <c r="C53" s="596"/>
      <c r="D53" s="597" t="s">
        <v>528</v>
      </c>
      <c r="E53" s="593"/>
      <c r="F53" s="598">
        <f>(3.3)*0.005</f>
        <v>1.6500000000000001E-2</v>
      </c>
      <c r="G53" s="599"/>
      <c r="H53" s="599"/>
      <c r="I53" s="600"/>
      <c r="J53" s="601"/>
      <c r="K53" s="581"/>
      <c r="L53" s="582"/>
      <c r="M53" s="582"/>
      <c r="N53" s="583"/>
      <c r="O53" s="582"/>
      <c r="P53" s="584"/>
      <c r="Q53" s="585"/>
      <c r="R53" s="586"/>
      <c r="S53" s="452"/>
      <c r="T53" s="452"/>
      <c r="U53" s="452"/>
      <c r="V53" s="587"/>
      <c r="W53" s="452"/>
      <c r="X53" s="452"/>
      <c r="Y53" s="452"/>
      <c r="Z53" s="452"/>
      <c r="AA53" s="452"/>
      <c r="AB53" s="452"/>
      <c r="AC53" s="452"/>
      <c r="AD53" s="452"/>
      <c r="AE53" s="452"/>
      <c r="AF53" s="452"/>
      <c r="AG53" s="452"/>
      <c r="AH53" s="452"/>
      <c r="AI53" s="452"/>
      <c r="AJ53" s="452"/>
      <c r="AK53" s="452"/>
      <c r="AL53" s="452"/>
      <c r="AM53" s="452"/>
      <c r="AN53" s="452"/>
      <c r="AO53" s="452"/>
      <c r="AP53" s="452"/>
      <c r="AQ53" s="452"/>
      <c r="AR53" s="452"/>
    </row>
    <row r="54" spans="1:44" s="541" customFormat="1" ht="27" customHeight="1">
      <c r="A54" s="595"/>
      <c r="B54" s="596"/>
      <c r="C54" s="596"/>
      <c r="D54" s="597" t="s">
        <v>529</v>
      </c>
      <c r="E54" s="593"/>
      <c r="F54" s="598">
        <f>(3.3)*0.005</f>
        <v>1.6500000000000001E-2</v>
      </c>
      <c r="G54" s="599"/>
      <c r="H54" s="599"/>
      <c r="I54" s="600"/>
      <c r="J54" s="580"/>
      <c r="K54" s="581"/>
      <c r="L54" s="582"/>
      <c r="M54" s="582"/>
      <c r="N54" s="583"/>
      <c r="O54" s="582"/>
      <c r="P54" s="584"/>
      <c r="Q54" s="585"/>
      <c r="R54" s="586"/>
      <c r="S54" s="452"/>
      <c r="T54" s="452"/>
      <c r="U54" s="452"/>
      <c r="V54" s="587"/>
      <c r="W54" s="452"/>
      <c r="X54" s="452"/>
      <c r="Y54" s="452"/>
      <c r="Z54" s="452"/>
      <c r="AA54" s="452"/>
      <c r="AB54" s="452"/>
      <c r="AC54" s="452"/>
      <c r="AD54" s="452"/>
      <c r="AE54" s="452"/>
      <c r="AF54" s="452"/>
      <c r="AG54" s="452"/>
      <c r="AH54" s="452"/>
      <c r="AI54" s="452"/>
      <c r="AJ54" s="452"/>
      <c r="AK54" s="452"/>
      <c r="AL54" s="452"/>
      <c r="AM54" s="452"/>
      <c r="AN54" s="452"/>
      <c r="AO54" s="452"/>
      <c r="AP54" s="452"/>
      <c r="AQ54" s="452"/>
      <c r="AR54" s="452"/>
    </row>
    <row r="55" spans="1:44" s="541" customFormat="1" ht="27" customHeight="1">
      <c r="A55" s="535">
        <v>21</v>
      </c>
      <c r="B55" s="536" t="s">
        <v>126</v>
      </c>
      <c r="C55" s="537">
        <v>183451511</v>
      </c>
      <c r="D55" s="579" t="s">
        <v>214</v>
      </c>
      <c r="E55" s="537" t="s">
        <v>98</v>
      </c>
      <c r="F55" s="565">
        <f>SUM(F56)</f>
        <v>3.3</v>
      </c>
      <c r="G55" s="90"/>
      <c r="H55" s="539">
        <f>F55*G55</f>
        <v>0</v>
      </c>
      <c r="I55" s="545" t="s">
        <v>738</v>
      </c>
      <c r="J55" s="602"/>
      <c r="K55" s="580"/>
      <c r="L55" s="581"/>
      <c r="M55" s="582"/>
      <c r="N55" s="582"/>
      <c r="O55" s="583"/>
      <c r="P55" s="582"/>
      <c r="Q55" s="584"/>
      <c r="R55" s="585"/>
      <c r="S55" s="586"/>
      <c r="T55" s="452"/>
      <c r="U55" s="452"/>
      <c r="V55" s="452"/>
      <c r="W55" s="587"/>
      <c r="X55" s="452"/>
      <c r="Y55" s="452"/>
      <c r="Z55" s="452"/>
      <c r="AA55" s="452"/>
      <c r="AB55" s="452"/>
      <c r="AC55" s="452"/>
      <c r="AD55" s="452"/>
      <c r="AE55" s="452"/>
      <c r="AF55" s="452"/>
      <c r="AG55" s="452"/>
      <c r="AH55" s="452"/>
      <c r="AI55" s="452"/>
      <c r="AJ55" s="452"/>
      <c r="AK55" s="452"/>
      <c r="AL55" s="452"/>
      <c r="AM55" s="452"/>
      <c r="AN55" s="452"/>
      <c r="AO55" s="452"/>
      <c r="AP55" s="452"/>
      <c r="AQ55" s="452"/>
      <c r="AR55" s="452"/>
    </row>
    <row r="56" spans="1:44" s="541" customFormat="1" ht="27" customHeight="1">
      <c r="A56" s="535"/>
      <c r="B56" s="536"/>
      <c r="C56" s="537"/>
      <c r="D56" s="542" t="s">
        <v>530</v>
      </c>
      <c r="E56" s="537"/>
      <c r="F56" s="543">
        <f>3.3*1</f>
        <v>3.3</v>
      </c>
      <c r="G56" s="539"/>
      <c r="H56" s="539"/>
      <c r="I56" s="545"/>
      <c r="J56" s="567"/>
      <c r="K56" s="567"/>
      <c r="L56" s="581"/>
      <c r="M56" s="603"/>
      <c r="N56" s="582"/>
      <c r="O56" s="583"/>
      <c r="P56" s="582"/>
      <c r="Q56" s="584"/>
      <c r="R56" s="585"/>
      <c r="S56" s="586"/>
      <c r="T56" s="452"/>
      <c r="U56" s="452"/>
      <c r="V56" s="452"/>
      <c r="W56" s="587"/>
      <c r="X56" s="452"/>
      <c r="Y56" s="452"/>
      <c r="Z56" s="452"/>
      <c r="AA56" s="452"/>
      <c r="AB56" s="452"/>
      <c r="AC56" s="452"/>
      <c r="AD56" s="452"/>
      <c r="AE56" s="452"/>
      <c r="AF56" s="452"/>
      <c r="AG56" s="452"/>
      <c r="AH56" s="452"/>
      <c r="AI56" s="452"/>
      <c r="AJ56" s="452"/>
      <c r="AK56" s="452"/>
      <c r="AL56" s="452"/>
      <c r="AM56" s="452"/>
      <c r="AN56" s="452"/>
      <c r="AO56" s="452"/>
      <c r="AP56" s="452"/>
      <c r="AQ56" s="452"/>
      <c r="AR56" s="452"/>
    </row>
    <row r="57" spans="1:44" s="541" customFormat="1" ht="13.5" customHeight="1">
      <c r="A57" s="588">
        <v>22</v>
      </c>
      <c r="B57" s="589" t="s">
        <v>215</v>
      </c>
      <c r="C57" s="593" t="s">
        <v>216</v>
      </c>
      <c r="D57" s="592" t="s">
        <v>217</v>
      </c>
      <c r="E57" s="593" t="s">
        <v>125</v>
      </c>
      <c r="F57" s="594">
        <f>SUM(F58)</f>
        <v>3.2339999999999994E-2</v>
      </c>
      <c r="G57" s="91"/>
      <c r="H57" s="590">
        <f>F57*G57</f>
        <v>0</v>
      </c>
      <c r="I57" s="591" t="s">
        <v>739</v>
      </c>
      <c r="J57" s="604"/>
      <c r="K57" s="580"/>
      <c r="L57" s="581"/>
      <c r="M57" s="582"/>
      <c r="N57" s="582"/>
      <c r="O57" s="452"/>
      <c r="P57" s="582"/>
      <c r="Q57" s="584"/>
      <c r="R57" s="585"/>
      <c r="S57" s="586"/>
      <c r="T57" s="452"/>
      <c r="U57" s="452"/>
      <c r="V57" s="452"/>
      <c r="W57" s="587"/>
      <c r="X57" s="452"/>
      <c r="Y57" s="452"/>
      <c r="Z57" s="452"/>
      <c r="AA57" s="452"/>
      <c r="AB57" s="452"/>
      <c r="AC57" s="452"/>
      <c r="AD57" s="452"/>
      <c r="AE57" s="452"/>
      <c r="AF57" s="452"/>
      <c r="AG57" s="452"/>
      <c r="AH57" s="452"/>
      <c r="AI57" s="452"/>
      <c r="AJ57" s="452"/>
      <c r="AK57" s="452"/>
      <c r="AL57" s="452"/>
      <c r="AM57" s="452"/>
      <c r="AN57" s="452"/>
      <c r="AO57" s="452"/>
      <c r="AP57" s="452"/>
      <c r="AQ57" s="452"/>
      <c r="AR57" s="452"/>
    </row>
    <row r="58" spans="1:44" s="541" customFormat="1" ht="13.5" customHeight="1">
      <c r="A58" s="605"/>
      <c r="B58" s="606"/>
      <c r="C58" s="606"/>
      <c r="D58" s="597" t="s">
        <v>531</v>
      </c>
      <c r="E58" s="593"/>
      <c r="F58" s="598">
        <f>(3.3)*0.0098</f>
        <v>3.2339999999999994E-2</v>
      </c>
      <c r="G58" s="607"/>
      <c r="H58" s="607"/>
      <c r="I58" s="608"/>
      <c r="J58" s="602"/>
      <c r="K58" s="580"/>
      <c r="L58" s="581"/>
      <c r="M58" s="582"/>
      <c r="N58" s="582"/>
      <c r="O58" s="583"/>
      <c r="P58" s="582"/>
      <c r="Q58" s="584"/>
      <c r="R58" s="585"/>
      <c r="S58" s="586"/>
      <c r="T58" s="452"/>
      <c r="U58" s="452"/>
      <c r="V58" s="452"/>
      <c r="W58" s="587"/>
      <c r="X58" s="452"/>
      <c r="Y58" s="452"/>
      <c r="Z58" s="452"/>
      <c r="AA58" s="452"/>
      <c r="AB58" s="452"/>
      <c r="AC58" s="452"/>
      <c r="AD58" s="452"/>
      <c r="AE58" s="452"/>
      <c r="AF58" s="452"/>
      <c r="AG58" s="452"/>
      <c r="AH58" s="452"/>
      <c r="AI58" s="452"/>
      <c r="AJ58" s="452"/>
      <c r="AK58" s="452"/>
      <c r="AL58" s="452"/>
      <c r="AM58" s="452"/>
      <c r="AN58" s="452"/>
      <c r="AO58" s="452"/>
      <c r="AP58" s="452"/>
      <c r="AQ58" s="452"/>
      <c r="AR58" s="452"/>
    </row>
    <row r="59" spans="1:44" s="615" customFormat="1" ht="13.5" customHeight="1">
      <c r="A59" s="92">
        <v>23</v>
      </c>
      <c r="B59" s="93" t="s">
        <v>126</v>
      </c>
      <c r="C59" s="94" t="s">
        <v>231</v>
      </c>
      <c r="D59" s="95" t="s">
        <v>232</v>
      </c>
      <c r="E59" s="94" t="s">
        <v>98</v>
      </c>
      <c r="F59" s="96">
        <f>SUM(F60:F60)</f>
        <v>3.3</v>
      </c>
      <c r="G59" s="731"/>
      <c r="H59" s="97">
        <f>F59*G59</f>
        <v>0</v>
      </c>
      <c r="I59" s="98" t="s">
        <v>739</v>
      </c>
      <c r="J59" s="509"/>
      <c r="K59" s="509"/>
      <c r="L59" s="609"/>
      <c r="M59" s="609"/>
      <c r="N59" s="610"/>
      <c r="O59" s="611"/>
      <c r="P59" s="612"/>
      <c r="Q59" s="613"/>
      <c r="R59" s="614"/>
      <c r="S59" s="611"/>
      <c r="T59" s="611"/>
      <c r="U59" s="611"/>
      <c r="V59" s="611"/>
      <c r="W59" s="611"/>
      <c r="X59" s="611"/>
      <c r="Y59" s="611"/>
      <c r="Z59" s="611"/>
      <c r="AA59" s="611"/>
      <c r="AB59" s="611"/>
      <c r="AC59" s="611"/>
      <c r="AD59" s="611"/>
      <c r="AE59" s="611"/>
      <c r="AF59" s="611"/>
      <c r="AG59" s="611"/>
      <c r="AH59" s="611"/>
      <c r="AI59" s="611"/>
      <c r="AJ59" s="611"/>
      <c r="AK59" s="611"/>
      <c r="AL59" s="611"/>
      <c r="AM59" s="611"/>
      <c r="AN59" s="611"/>
      <c r="AO59" s="611"/>
      <c r="AP59" s="611"/>
      <c r="AQ59" s="611"/>
      <c r="AR59" s="611"/>
    </row>
    <row r="60" spans="1:44" s="615" customFormat="1" ht="27" customHeight="1">
      <c r="A60" s="92"/>
      <c r="B60" s="93"/>
      <c r="C60" s="94"/>
      <c r="D60" s="99" t="s">
        <v>532</v>
      </c>
      <c r="E60" s="94"/>
      <c r="F60" s="100">
        <f>(3.3)</f>
        <v>3.3</v>
      </c>
      <c r="G60" s="97"/>
      <c r="H60" s="97"/>
      <c r="I60" s="98"/>
      <c r="J60" s="616"/>
      <c r="K60" s="617"/>
      <c r="L60" s="618"/>
      <c r="M60" s="618"/>
      <c r="N60" s="619"/>
      <c r="O60" s="618"/>
      <c r="P60" s="620"/>
      <c r="Q60" s="613"/>
      <c r="R60" s="614"/>
      <c r="S60" s="611"/>
      <c r="T60" s="611"/>
      <c r="U60" s="611"/>
      <c r="V60" s="611"/>
      <c r="W60" s="611"/>
      <c r="X60" s="611"/>
      <c r="Y60" s="611"/>
      <c r="Z60" s="611"/>
      <c r="AA60" s="611"/>
      <c r="AB60" s="611"/>
      <c r="AC60" s="611"/>
      <c r="AD60" s="611"/>
      <c r="AE60" s="611"/>
      <c r="AF60" s="611"/>
      <c r="AG60" s="611"/>
      <c r="AH60" s="611"/>
      <c r="AI60" s="611"/>
      <c r="AJ60" s="611"/>
      <c r="AK60" s="611"/>
      <c r="AL60" s="611"/>
      <c r="AM60" s="611"/>
      <c r="AN60" s="611"/>
      <c r="AO60" s="611"/>
      <c r="AP60" s="611"/>
      <c r="AQ60" s="611"/>
      <c r="AR60" s="611"/>
    </row>
    <row r="61" spans="1:44" s="615" customFormat="1" ht="13.5" customHeight="1">
      <c r="A61" s="92"/>
      <c r="B61" s="93"/>
      <c r="C61" s="94"/>
      <c r="D61" s="101" t="s">
        <v>233</v>
      </c>
      <c r="E61" s="94"/>
      <c r="F61" s="102"/>
      <c r="G61" s="97"/>
      <c r="H61" s="97"/>
      <c r="I61" s="98"/>
      <c r="J61" s="611"/>
      <c r="K61" s="617"/>
      <c r="L61" s="618"/>
      <c r="M61" s="618"/>
      <c r="N61" s="619"/>
      <c r="O61" s="618"/>
      <c r="P61" s="620"/>
      <c r="Q61" s="613"/>
      <c r="R61" s="614"/>
      <c r="S61" s="611"/>
      <c r="T61" s="611"/>
      <c r="U61" s="611"/>
      <c r="V61" s="611"/>
      <c r="W61" s="611"/>
      <c r="X61" s="611"/>
      <c r="Y61" s="611"/>
      <c r="Z61" s="611"/>
      <c r="AA61" s="611"/>
      <c r="AB61" s="611"/>
      <c r="AC61" s="611"/>
      <c r="AD61" s="611"/>
      <c r="AE61" s="611"/>
      <c r="AF61" s="611"/>
      <c r="AG61" s="611"/>
      <c r="AH61" s="611"/>
      <c r="AI61" s="611"/>
      <c r="AJ61" s="611"/>
      <c r="AK61" s="611"/>
      <c r="AL61" s="611"/>
      <c r="AM61" s="611"/>
      <c r="AN61" s="611"/>
      <c r="AO61" s="611"/>
      <c r="AP61" s="611"/>
      <c r="AQ61" s="611"/>
      <c r="AR61" s="611"/>
    </row>
    <row r="62" spans="1:44" s="615" customFormat="1" ht="13.5" customHeight="1">
      <c r="A62" s="103">
        <v>24</v>
      </c>
      <c r="B62" s="104" t="s">
        <v>234</v>
      </c>
      <c r="C62" s="105" t="s">
        <v>235</v>
      </c>
      <c r="D62" s="106" t="s">
        <v>236</v>
      </c>
      <c r="E62" s="105" t="s">
        <v>237</v>
      </c>
      <c r="F62" s="621">
        <f>F63</f>
        <v>3.3E-3</v>
      </c>
      <c r="G62" s="732"/>
      <c r="H62" s="108">
        <f>F62*G62</f>
        <v>0</v>
      </c>
      <c r="I62" s="137" t="s">
        <v>739</v>
      </c>
      <c r="J62" s="622"/>
      <c r="K62" s="617"/>
      <c r="L62" s="618"/>
      <c r="M62" s="618"/>
      <c r="N62" s="619"/>
      <c r="O62" s="618"/>
      <c r="P62" s="620"/>
      <c r="Q62" s="613"/>
      <c r="R62" s="614"/>
      <c r="S62" s="611"/>
      <c r="T62" s="611"/>
      <c r="U62" s="611"/>
      <c r="V62" s="611"/>
      <c r="W62" s="611"/>
      <c r="X62" s="611"/>
      <c r="Y62" s="611"/>
      <c r="Z62" s="611"/>
      <c r="AA62" s="611"/>
      <c r="AB62" s="611"/>
      <c r="AC62" s="611"/>
      <c r="AD62" s="611"/>
      <c r="AE62" s="611"/>
      <c r="AF62" s="611"/>
      <c r="AG62" s="611"/>
      <c r="AH62" s="611"/>
      <c r="AI62" s="611"/>
      <c r="AJ62" s="611"/>
      <c r="AK62" s="611"/>
      <c r="AL62" s="611"/>
      <c r="AM62" s="611"/>
      <c r="AN62" s="611"/>
      <c r="AO62" s="611"/>
      <c r="AP62" s="611"/>
      <c r="AQ62" s="611"/>
      <c r="AR62" s="611"/>
    </row>
    <row r="63" spans="1:44" s="615" customFormat="1" ht="13.5" customHeight="1">
      <c r="A63" s="109"/>
      <c r="B63" s="110"/>
      <c r="C63" s="110"/>
      <c r="D63" s="111" t="s">
        <v>533</v>
      </c>
      <c r="E63" s="112"/>
      <c r="F63" s="623">
        <f>(0.0005*(3.3))*2</f>
        <v>3.3E-3</v>
      </c>
      <c r="G63" s="114"/>
      <c r="H63" s="114"/>
      <c r="I63" s="102"/>
      <c r="J63" s="624"/>
      <c r="K63" s="617"/>
      <c r="L63" s="618"/>
      <c r="M63" s="625"/>
      <c r="N63" s="619"/>
      <c r="O63" s="618"/>
      <c r="P63" s="620"/>
      <c r="Q63" s="613"/>
      <c r="R63" s="614"/>
      <c r="S63" s="611"/>
      <c r="T63" s="611"/>
      <c r="U63" s="611"/>
      <c r="V63" s="611"/>
      <c r="W63" s="611"/>
      <c r="X63" s="611"/>
      <c r="Y63" s="611"/>
      <c r="Z63" s="611"/>
      <c r="AA63" s="611"/>
      <c r="AB63" s="611"/>
      <c r="AC63" s="611"/>
      <c r="AD63" s="611"/>
      <c r="AE63" s="611"/>
      <c r="AF63" s="611"/>
      <c r="AG63" s="611"/>
      <c r="AH63" s="611"/>
      <c r="AI63" s="611"/>
      <c r="AJ63" s="611"/>
      <c r="AK63" s="611"/>
      <c r="AL63" s="611"/>
      <c r="AM63" s="611"/>
      <c r="AN63" s="611"/>
      <c r="AO63" s="611"/>
      <c r="AP63" s="611"/>
      <c r="AQ63" s="611"/>
      <c r="AR63" s="611"/>
    </row>
    <row r="64" spans="1:44" s="541" customFormat="1" ht="27" customHeight="1">
      <c r="A64" s="564" t="s">
        <v>541</v>
      </c>
      <c r="B64" s="537">
        <v>231</v>
      </c>
      <c r="C64" s="537">
        <v>184802111</v>
      </c>
      <c r="D64" s="537" t="s">
        <v>230</v>
      </c>
      <c r="E64" s="537" t="s">
        <v>98</v>
      </c>
      <c r="F64" s="565">
        <f>SUM(F65)</f>
        <v>6.6</v>
      </c>
      <c r="G64" s="90"/>
      <c r="H64" s="539">
        <f>F64*G64</f>
        <v>0</v>
      </c>
      <c r="I64" s="545" t="s">
        <v>738</v>
      </c>
      <c r="J64" s="626"/>
      <c r="K64" s="452"/>
      <c r="L64" s="452"/>
      <c r="M64" s="569"/>
      <c r="N64" s="569"/>
      <c r="O64" s="570"/>
      <c r="P64" s="571"/>
      <c r="Q64" s="572"/>
      <c r="R64" s="573"/>
      <c r="S64" s="573"/>
      <c r="T64" s="574"/>
      <c r="U64" s="452"/>
      <c r="V64" s="575"/>
      <c r="W64" s="452"/>
      <c r="X64" s="452"/>
      <c r="Y64" s="452"/>
      <c r="Z64" s="452"/>
      <c r="AA64" s="452"/>
      <c r="AB64" s="452"/>
      <c r="AC64" s="452"/>
      <c r="AD64" s="452"/>
      <c r="AE64" s="452"/>
      <c r="AF64" s="452"/>
      <c r="AG64" s="452"/>
      <c r="AH64" s="452"/>
      <c r="AI64" s="452"/>
      <c r="AJ64" s="452"/>
      <c r="AK64" s="452"/>
      <c r="AL64" s="452"/>
      <c r="AM64" s="452"/>
      <c r="AN64" s="452"/>
      <c r="AO64" s="452"/>
      <c r="AP64" s="452"/>
      <c r="AQ64" s="452"/>
      <c r="AR64" s="452"/>
    </row>
    <row r="65" spans="1:256" s="541" customFormat="1" ht="13.5" customHeight="1">
      <c r="A65" s="564"/>
      <c r="B65" s="537"/>
      <c r="C65" s="537"/>
      <c r="D65" s="542" t="s">
        <v>534</v>
      </c>
      <c r="E65" s="537"/>
      <c r="F65" s="543">
        <f>(3.3)*2</f>
        <v>6.6</v>
      </c>
      <c r="G65" s="539"/>
      <c r="H65" s="539"/>
      <c r="I65" s="545"/>
      <c r="J65" s="546"/>
      <c r="K65" s="567"/>
      <c r="L65" s="578"/>
      <c r="M65" s="569"/>
      <c r="N65" s="569"/>
      <c r="O65" s="570"/>
      <c r="P65" s="571"/>
      <c r="Q65" s="572"/>
      <c r="R65" s="573"/>
      <c r="S65" s="573"/>
      <c r="T65" s="574"/>
      <c r="U65" s="452"/>
      <c r="V65" s="575"/>
      <c r="W65" s="452"/>
      <c r="X65" s="452"/>
      <c r="Y65" s="452"/>
      <c r="Z65" s="452"/>
      <c r="AA65" s="452"/>
      <c r="AB65" s="452"/>
      <c r="AC65" s="452"/>
      <c r="AD65" s="452"/>
      <c r="AE65" s="452"/>
      <c r="AF65" s="452"/>
      <c r="AG65" s="452"/>
      <c r="AH65" s="452"/>
      <c r="AI65" s="452"/>
      <c r="AJ65" s="452"/>
      <c r="AK65" s="452"/>
      <c r="AL65" s="452"/>
      <c r="AM65" s="452"/>
      <c r="AN65" s="452"/>
      <c r="AO65" s="452"/>
      <c r="AP65" s="452"/>
      <c r="AQ65" s="452"/>
      <c r="AR65" s="452"/>
    </row>
    <row r="66" spans="1:256" s="541" customFormat="1" ht="13.5" customHeight="1">
      <c r="A66" s="535">
        <v>26</v>
      </c>
      <c r="B66" s="536" t="s">
        <v>126</v>
      </c>
      <c r="C66" s="537">
        <v>185802113</v>
      </c>
      <c r="D66" s="579" t="s">
        <v>218</v>
      </c>
      <c r="E66" s="537" t="s">
        <v>125</v>
      </c>
      <c r="F66" s="627">
        <f>SUM(F67)</f>
        <v>6.6000000000000005E-5</v>
      </c>
      <c r="G66" s="90"/>
      <c r="H66" s="539">
        <f>F66*G66</f>
        <v>0</v>
      </c>
      <c r="I66" s="545" t="s">
        <v>738</v>
      </c>
      <c r="J66" s="628"/>
      <c r="K66" s="580"/>
      <c r="L66" s="581"/>
      <c r="M66" s="582"/>
      <c r="N66" s="582"/>
      <c r="O66" s="583"/>
      <c r="P66" s="582"/>
      <c r="Q66" s="584"/>
      <c r="R66" s="585"/>
      <c r="S66" s="586"/>
      <c r="T66" s="452"/>
      <c r="U66" s="452"/>
      <c r="V66" s="452"/>
      <c r="W66" s="587"/>
      <c r="X66" s="452"/>
      <c r="Y66" s="452"/>
      <c r="Z66" s="452"/>
      <c r="AA66" s="452"/>
      <c r="AB66" s="452"/>
      <c r="AC66" s="452"/>
      <c r="AD66" s="452"/>
      <c r="AE66" s="452"/>
      <c r="AF66" s="452"/>
      <c r="AG66" s="452"/>
      <c r="AH66" s="452"/>
      <c r="AI66" s="452"/>
      <c r="AJ66" s="452"/>
      <c r="AK66" s="452"/>
      <c r="AL66" s="452"/>
      <c r="AM66" s="452"/>
      <c r="AN66" s="452"/>
      <c r="AO66" s="452"/>
      <c r="AP66" s="452"/>
      <c r="AQ66" s="452"/>
      <c r="AR66" s="452"/>
    </row>
    <row r="67" spans="1:256" s="541" customFormat="1" ht="13.5" customHeight="1">
      <c r="A67" s="535"/>
      <c r="B67" s="536"/>
      <c r="C67" s="537"/>
      <c r="D67" s="542" t="s">
        <v>535</v>
      </c>
      <c r="E67" s="537"/>
      <c r="F67" s="629">
        <f>((3.3)*0.02)/1000</f>
        <v>6.6000000000000005E-5</v>
      </c>
      <c r="G67" s="539"/>
      <c r="H67" s="539"/>
      <c r="I67" s="545"/>
      <c r="J67" s="630"/>
      <c r="K67" s="580"/>
      <c r="L67" s="581"/>
      <c r="M67" s="582"/>
      <c r="N67" s="582"/>
      <c r="O67" s="583"/>
      <c r="P67" s="582"/>
      <c r="Q67" s="584"/>
      <c r="R67" s="585"/>
      <c r="S67" s="586"/>
      <c r="T67" s="452"/>
      <c r="U67" s="452"/>
      <c r="V67" s="452"/>
      <c r="W67" s="587"/>
      <c r="X67" s="452"/>
      <c r="Y67" s="452"/>
      <c r="Z67" s="452"/>
      <c r="AA67" s="452"/>
      <c r="AB67" s="452"/>
      <c r="AC67" s="452"/>
      <c r="AD67" s="452"/>
      <c r="AE67" s="452"/>
      <c r="AF67" s="452"/>
      <c r="AG67" s="452"/>
      <c r="AH67" s="452"/>
      <c r="AI67" s="452"/>
      <c r="AJ67" s="452"/>
      <c r="AK67" s="452"/>
      <c r="AL67" s="452"/>
      <c r="AM67" s="452"/>
      <c r="AN67" s="452"/>
      <c r="AO67" s="452"/>
      <c r="AP67" s="452"/>
      <c r="AQ67" s="452"/>
      <c r="AR67" s="452"/>
    </row>
    <row r="68" spans="1:256" s="541" customFormat="1" ht="13.5" customHeight="1">
      <c r="A68" s="588">
        <v>27</v>
      </c>
      <c r="B68" s="589" t="s">
        <v>219</v>
      </c>
      <c r="C68" s="593">
        <v>25191155</v>
      </c>
      <c r="D68" s="592" t="s">
        <v>564</v>
      </c>
      <c r="E68" s="593" t="s">
        <v>220</v>
      </c>
      <c r="F68" s="594">
        <f>SUM(F69:F69)</f>
        <v>6.6000000000000003E-2</v>
      </c>
      <c r="G68" s="91"/>
      <c r="H68" s="590">
        <f>F68*G68</f>
        <v>0</v>
      </c>
      <c r="I68" s="591" t="s">
        <v>738</v>
      </c>
      <c r="J68" s="630"/>
      <c r="K68" s="580"/>
      <c r="L68" s="581"/>
      <c r="M68" s="582"/>
      <c r="N68" s="582"/>
      <c r="O68" s="583"/>
      <c r="P68" s="582"/>
      <c r="Q68" s="584"/>
      <c r="R68" s="585"/>
      <c r="S68" s="586"/>
      <c r="T68" s="452"/>
      <c r="U68" s="452"/>
      <c r="V68" s="452"/>
      <c r="W68" s="587"/>
      <c r="X68" s="452"/>
      <c r="Y68" s="452"/>
      <c r="Z68" s="452"/>
      <c r="AA68" s="452"/>
      <c r="AB68" s="452"/>
      <c r="AC68" s="452"/>
      <c r="AD68" s="452"/>
      <c r="AE68" s="452"/>
      <c r="AF68" s="452"/>
      <c r="AG68" s="452"/>
      <c r="AH68" s="452"/>
      <c r="AI68" s="452"/>
      <c r="AJ68" s="452"/>
      <c r="AK68" s="452"/>
      <c r="AL68" s="452"/>
      <c r="AM68" s="452"/>
      <c r="AN68" s="452"/>
      <c r="AO68" s="452"/>
      <c r="AP68" s="452"/>
      <c r="AQ68" s="452"/>
      <c r="AR68" s="452"/>
    </row>
    <row r="69" spans="1:256" s="541" customFormat="1" ht="13.5" customHeight="1">
      <c r="A69" s="605"/>
      <c r="B69" s="606"/>
      <c r="C69" s="606"/>
      <c r="D69" s="597" t="s">
        <v>536</v>
      </c>
      <c r="E69" s="593"/>
      <c r="F69" s="598">
        <f>(3.3)*0.02</f>
        <v>6.6000000000000003E-2</v>
      </c>
      <c r="G69" s="607"/>
      <c r="H69" s="607"/>
      <c r="I69" s="608"/>
      <c r="J69" s="628"/>
      <c r="K69" s="580"/>
      <c r="L69" s="581"/>
      <c r="M69" s="582"/>
      <c r="N69" s="582"/>
      <c r="O69" s="583"/>
      <c r="P69" s="582"/>
      <c r="Q69" s="584"/>
      <c r="R69" s="585"/>
      <c r="S69" s="586"/>
      <c r="T69" s="452"/>
      <c r="U69" s="452"/>
      <c r="V69" s="452"/>
      <c r="W69" s="587"/>
      <c r="X69" s="452"/>
      <c r="Y69" s="452"/>
      <c r="Z69" s="452"/>
      <c r="AA69" s="452"/>
      <c r="AB69" s="452"/>
      <c r="AC69" s="452"/>
      <c r="AD69" s="452"/>
      <c r="AE69" s="452"/>
      <c r="AF69" s="452"/>
      <c r="AG69" s="452"/>
      <c r="AH69" s="452"/>
      <c r="AI69" s="452"/>
      <c r="AJ69" s="452"/>
      <c r="AK69" s="452"/>
      <c r="AL69" s="452"/>
      <c r="AM69" s="452"/>
      <c r="AN69" s="452"/>
      <c r="AO69" s="452"/>
      <c r="AP69" s="452"/>
      <c r="AQ69" s="452"/>
      <c r="AR69" s="452"/>
    </row>
    <row r="70" spans="1:256" s="541" customFormat="1" ht="13.5" customHeight="1">
      <c r="A70" s="564" t="s">
        <v>390</v>
      </c>
      <c r="B70" s="537">
        <v>231</v>
      </c>
      <c r="C70" s="537">
        <v>185803111</v>
      </c>
      <c r="D70" s="537" t="s">
        <v>221</v>
      </c>
      <c r="E70" s="537" t="s">
        <v>98</v>
      </c>
      <c r="F70" s="565">
        <f>SUM(F71)</f>
        <v>3.3</v>
      </c>
      <c r="G70" s="90"/>
      <c r="H70" s="539">
        <f>F70*G70</f>
        <v>0</v>
      </c>
      <c r="I70" s="545" t="s">
        <v>738</v>
      </c>
      <c r="J70" s="569"/>
      <c r="K70" s="569"/>
      <c r="L70" s="569"/>
      <c r="M70" s="569"/>
      <c r="N70" s="569"/>
      <c r="O70" s="570"/>
      <c r="P70" s="571"/>
      <c r="Q70" s="572"/>
      <c r="R70" s="573"/>
      <c r="S70" s="573"/>
      <c r="T70" s="574"/>
      <c r="U70" s="452"/>
      <c r="V70" s="575"/>
      <c r="W70" s="452"/>
      <c r="X70" s="452"/>
      <c r="Y70" s="452"/>
      <c r="Z70" s="452"/>
      <c r="AA70" s="452"/>
      <c r="AB70" s="452"/>
      <c r="AC70" s="452"/>
      <c r="AD70" s="452"/>
      <c r="AE70" s="452"/>
      <c r="AF70" s="452"/>
      <c r="AG70" s="452"/>
      <c r="AH70" s="452"/>
      <c r="AI70" s="452"/>
      <c r="AJ70" s="452"/>
      <c r="AK70" s="452"/>
      <c r="AL70" s="452"/>
      <c r="AM70" s="452"/>
      <c r="AN70" s="452"/>
      <c r="AO70" s="452"/>
      <c r="AP70" s="452"/>
      <c r="AQ70" s="452"/>
      <c r="AR70" s="452"/>
    </row>
    <row r="71" spans="1:256" s="541" customFormat="1" ht="13.5" customHeight="1">
      <c r="A71" s="564"/>
      <c r="B71" s="537"/>
      <c r="C71" s="537"/>
      <c r="D71" s="542" t="s">
        <v>537</v>
      </c>
      <c r="E71" s="537"/>
      <c r="F71" s="543">
        <f>3.3</f>
        <v>3.3</v>
      </c>
      <c r="G71" s="539"/>
      <c r="H71" s="539"/>
      <c r="I71" s="545"/>
      <c r="J71" s="567"/>
      <c r="K71" s="567"/>
      <c r="L71" s="569"/>
      <c r="M71" s="569"/>
      <c r="N71" s="569"/>
      <c r="O71" s="570"/>
      <c r="P71" s="571"/>
      <c r="Q71" s="572"/>
      <c r="R71" s="573"/>
      <c r="S71" s="573"/>
      <c r="T71" s="574"/>
      <c r="U71" s="452"/>
      <c r="V71" s="575"/>
      <c r="W71" s="452"/>
      <c r="X71" s="452"/>
      <c r="Y71" s="452"/>
      <c r="Z71" s="452"/>
      <c r="AA71" s="452"/>
      <c r="AB71" s="452"/>
      <c r="AC71" s="452"/>
      <c r="AD71" s="452"/>
      <c r="AE71" s="452"/>
      <c r="AF71" s="452"/>
      <c r="AG71" s="452"/>
      <c r="AH71" s="452"/>
      <c r="AI71" s="452"/>
      <c r="AJ71" s="452"/>
      <c r="AK71" s="452"/>
      <c r="AL71" s="452"/>
      <c r="AM71" s="452"/>
      <c r="AN71" s="452"/>
      <c r="AO71" s="452"/>
      <c r="AP71" s="452"/>
      <c r="AQ71" s="452"/>
      <c r="AR71" s="452"/>
    </row>
    <row r="72" spans="1:256" s="647" customFormat="1" ht="13.5" customHeight="1">
      <c r="A72" s="631">
        <v>29</v>
      </c>
      <c r="B72" s="632" t="s">
        <v>126</v>
      </c>
      <c r="C72" s="633">
        <v>185804311</v>
      </c>
      <c r="D72" s="634" t="s">
        <v>229</v>
      </c>
      <c r="E72" s="633" t="s">
        <v>122</v>
      </c>
      <c r="F72" s="635">
        <f>SUM(F73:F73)</f>
        <v>4.9499999999999995E-2</v>
      </c>
      <c r="G72" s="733"/>
      <c r="H72" s="636">
        <f>F72*G72</f>
        <v>0</v>
      </c>
      <c r="I72" s="545" t="s">
        <v>738</v>
      </c>
      <c r="J72" s="637"/>
      <c r="K72" s="638"/>
      <c r="L72" s="639"/>
      <c r="M72" s="640"/>
      <c r="N72" s="641"/>
      <c r="O72" s="642"/>
      <c r="P72" s="641"/>
      <c r="Q72" s="643"/>
      <c r="R72" s="644"/>
      <c r="S72" s="645"/>
      <c r="T72" s="646"/>
      <c r="U72" s="646"/>
      <c r="V72" s="646"/>
      <c r="W72" s="646"/>
      <c r="X72" s="646"/>
      <c r="Y72" s="646"/>
      <c r="Z72" s="646"/>
      <c r="AA72" s="646"/>
      <c r="AB72" s="646"/>
      <c r="AC72" s="646"/>
      <c r="AD72" s="646"/>
      <c r="AE72" s="646"/>
      <c r="AF72" s="646"/>
      <c r="AG72" s="646"/>
      <c r="AH72" s="646"/>
      <c r="AI72" s="646"/>
      <c r="AJ72" s="646"/>
      <c r="AK72" s="646"/>
      <c r="AL72" s="646"/>
      <c r="AM72" s="646"/>
      <c r="AN72" s="646"/>
      <c r="AO72" s="646"/>
      <c r="AP72" s="646"/>
      <c r="AQ72" s="646"/>
      <c r="AR72" s="646"/>
    </row>
    <row r="73" spans="1:256" s="647" customFormat="1" ht="13.5" customHeight="1">
      <c r="A73" s="648"/>
      <c r="B73" s="649"/>
      <c r="C73" s="649"/>
      <c r="D73" s="650" t="s">
        <v>538</v>
      </c>
      <c r="E73" s="633"/>
      <c r="F73" s="651">
        <f xml:space="preserve"> 0.015*(3.3)</f>
        <v>4.9499999999999995E-2</v>
      </c>
      <c r="G73" s="652"/>
      <c r="H73" s="652"/>
      <c r="I73" s="653"/>
      <c r="J73" s="654"/>
      <c r="K73" s="638"/>
      <c r="L73" s="639"/>
      <c r="M73" s="641"/>
      <c r="N73" s="641"/>
      <c r="O73" s="642"/>
      <c r="P73" s="641"/>
      <c r="Q73" s="643"/>
      <c r="R73" s="644"/>
      <c r="S73" s="645"/>
      <c r="T73" s="646"/>
      <c r="U73" s="646"/>
      <c r="V73" s="646"/>
      <c r="W73" s="646"/>
      <c r="X73" s="646"/>
      <c r="Y73" s="646"/>
      <c r="Z73" s="646"/>
      <c r="AA73" s="646"/>
      <c r="AB73" s="646"/>
      <c r="AC73" s="646"/>
      <c r="AD73" s="646"/>
      <c r="AE73" s="646"/>
      <c r="AF73" s="646"/>
      <c r="AG73" s="646"/>
      <c r="AH73" s="646"/>
      <c r="AI73" s="646"/>
      <c r="AJ73" s="646"/>
      <c r="AK73" s="646"/>
      <c r="AL73" s="646"/>
      <c r="AM73" s="646"/>
      <c r="AN73" s="646"/>
      <c r="AO73" s="646"/>
      <c r="AP73" s="646"/>
      <c r="AQ73" s="646"/>
      <c r="AR73" s="646"/>
    </row>
    <row r="74" spans="1:256" ht="13.5" customHeight="1">
      <c r="A74" s="655"/>
      <c r="B74" s="656"/>
      <c r="C74" s="656">
        <v>8</v>
      </c>
      <c r="D74" s="657" t="s">
        <v>166</v>
      </c>
      <c r="E74" s="656"/>
      <c r="F74" s="658"/>
      <c r="G74" s="659"/>
      <c r="H74" s="659">
        <f>SUM(H75:H86)</f>
        <v>0</v>
      </c>
      <c r="I74" s="660"/>
      <c r="J74" s="661"/>
      <c r="K74" s="661"/>
      <c r="L74" s="661"/>
      <c r="M74" s="661"/>
      <c r="N74" s="661"/>
      <c r="O74" s="661"/>
      <c r="P74" s="661"/>
      <c r="Q74" s="661"/>
      <c r="R74" s="662"/>
      <c r="S74" s="662"/>
      <c r="T74" s="662"/>
      <c r="U74" s="662"/>
      <c r="V74" s="662"/>
      <c r="W74" s="662"/>
      <c r="X74" s="662"/>
      <c r="Y74" s="662"/>
      <c r="Z74" s="662"/>
      <c r="AA74" s="662"/>
      <c r="AB74" s="662"/>
      <c r="AC74" s="662"/>
      <c r="AD74" s="662"/>
      <c r="AE74" s="662"/>
      <c r="AF74" s="662"/>
      <c r="AG74" s="662"/>
      <c r="AH74" s="662"/>
      <c r="AI74" s="662"/>
      <c r="AJ74" s="662"/>
      <c r="AK74" s="662"/>
      <c r="AL74" s="662"/>
      <c r="AM74" s="662"/>
      <c r="AN74" s="662"/>
      <c r="AO74" s="662"/>
      <c r="AP74" s="662"/>
      <c r="AQ74" s="662"/>
      <c r="AR74" s="662"/>
      <c r="AS74" s="663"/>
      <c r="AT74" s="663"/>
      <c r="AU74" s="663"/>
      <c r="AV74" s="663"/>
      <c r="AW74" s="663"/>
      <c r="AX74" s="663"/>
      <c r="AY74" s="663"/>
      <c r="AZ74" s="663"/>
      <c r="BA74" s="663"/>
      <c r="BB74" s="663"/>
      <c r="BC74" s="663"/>
      <c r="BD74" s="663"/>
      <c r="BE74" s="663"/>
      <c r="BF74" s="663"/>
      <c r="BG74" s="663"/>
      <c r="BH74" s="663"/>
      <c r="BI74" s="663"/>
      <c r="BJ74" s="663"/>
      <c r="BK74" s="663"/>
      <c r="BL74" s="663"/>
      <c r="BM74" s="663"/>
      <c r="BN74" s="663"/>
      <c r="BO74" s="663"/>
      <c r="BP74" s="663"/>
      <c r="BQ74" s="663"/>
      <c r="BR74" s="663"/>
      <c r="BS74" s="663"/>
      <c r="BT74" s="663"/>
      <c r="BU74" s="663"/>
      <c r="BV74" s="663"/>
      <c r="BW74" s="663"/>
      <c r="BX74" s="663"/>
      <c r="BY74" s="663"/>
      <c r="BZ74" s="663"/>
      <c r="CA74" s="663"/>
      <c r="CB74" s="663"/>
      <c r="CC74" s="663"/>
      <c r="CD74" s="663"/>
      <c r="CE74" s="663"/>
      <c r="CF74" s="663"/>
      <c r="CG74" s="663"/>
      <c r="CH74" s="663"/>
      <c r="CI74" s="663"/>
      <c r="CJ74" s="663"/>
      <c r="CK74" s="663"/>
      <c r="CL74" s="663"/>
      <c r="CM74" s="663"/>
      <c r="CN74" s="663"/>
      <c r="CO74" s="663"/>
      <c r="CP74" s="663"/>
      <c r="CQ74" s="663"/>
      <c r="CR74" s="663"/>
      <c r="CS74" s="663"/>
      <c r="CT74" s="663"/>
      <c r="CU74" s="663"/>
      <c r="CV74" s="663"/>
      <c r="CW74" s="663"/>
      <c r="CX74" s="663"/>
      <c r="CY74" s="663"/>
      <c r="CZ74" s="663"/>
      <c r="DA74" s="663"/>
      <c r="DB74" s="663"/>
      <c r="DC74" s="663"/>
      <c r="DD74" s="663"/>
      <c r="DE74" s="663"/>
      <c r="DF74" s="663"/>
      <c r="DG74" s="663"/>
      <c r="DH74" s="663"/>
      <c r="DI74" s="663"/>
      <c r="DJ74" s="663"/>
      <c r="DK74" s="663"/>
      <c r="DL74" s="663"/>
      <c r="DM74" s="663"/>
      <c r="DN74" s="663"/>
      <c r="DO74" s="663"/>
      <c r="DP74" s="663"/>
      <c r="DQ74" s="663"/>
      <c r="DR74" s="663"/>
      <c r="DS74" s="663"/>
      <c r="DT74" s="663"/>
      <c r="DU74" s="663"/>
      <c r="DV74" s="663"/>
      <c r="DW74" s="663"/>
      <c r="DX74" s="663"/>
      <c r="DY74" s="663"/>
      <c r="DZ74" s="663"/>
      <c r="EA74" s="663"/>
      <c r="EB74" s="663"/>
      <c r="EC74" s="663"/>
      <c r="ED74" s="663"/>
      <c r="EE74" s="663"/>
      <c r="EF74" s="663"/>
      <c r="EG74" s="663"/>
      <c r="EH74" s="663"/>
      <c r="EI74" s="663"/>
      <c r="EJ74" s="663"/>
      <c r="EK74" s="663"/>
      <c r="EL74" s="663"/>
      <c r="EM74" s="663"/>
      <c r="EN74" s="663"/>
      <c r="EO74" s="663"/>
      <c r="EP74" s="663"/>
      <c r="EQ74" s="663"/>
      <c r="ER74" s="663"/>
      <c r="ES74" s="663"/>
      <c r="ET74" s="663"/>
      <c r="EU74" s="663"/>
      <c r="EV74" s="663"/>
      <c r="EW74" s="663"/>
      <c r="EX74" s="663"/>
      <c r="EY74" s="663"/>
      <c r="EZ74" s="663"/>
      <c r="FA74" s="663"/>
      <c r="FB74" s="663"/>
      <c r="FC74" s="663"/>
      <c r="FD74" s="663"/>
      <c r="FE74" s="663"/>
      <c r="FF74" s="663"/>
      <c r="FG74" s="663"/>
      <c r="FH74" s="663"/>
      <c r="FI74" s="663"/>
      <c r="FJ74" s="663"/>
      <c r="FK74" s="663"/>
      <c r="FL74" s="663"/>
      <c r="FM74" s="663"/>
      <c r="FN74" s="663"/>
      <c r="FO74" s="663"/>
      <c r="FP74" s="663"/>
      <c r="FQ74" s="663"/>
      <c r="FR74" s="663"/>
      <c r="FS74" s="663"/>
      <c r="FT74" s="663"/>
      <c r="FU74" s="663"/>
      <c r="FV74" s="663"/>
      <c r="FW74" s="663"/>
      <c r="FX74" s="663"/>
      <c r="FY74" s="663"/>
      <c r="FZ74" s="663"/>
      <c r="GA74" s="663"/>
      <c r="GB74" s="663"/>
      <c r="GC74" s="663"/>
      <c r="GD74" s="663"/>
      <c r="GE74" s="663"/>
      <c r="GF74" s="663"/>
      <c r="GG74" s="663"/>
      <c r="GH74" s="663"/>
      <c r="GI74" s="663"/>
      <c r="GJ74" s="663"/>
      <c r="GK74" s="663"/>
      <c r="GL74" s="663"/>
      <c r="GM74" s="663"/>
      <c r="GN74" s="663"/>
      <c r="GO74" s="663"/>
      <c r="GP74" s="663"/>
      <c r="GQ74" s="663"/>
      <c r="GR74" s="663"/>
      <c r="GS74" s="663"/>
      <c r="GT74" s="663"/>
      <c r="GU74" s="663"/>
      <c r="GV74" s="663"/>
      <c r="GW74" s="663"/>
      <c r="GX74" s="663"/>
      <c r="GY74" s="663"/>
      <c r="GZ74" s="663"/>
      <c r="HA74" s="663"/>
      <c r="HB74" s="663"/>
      <c r="HC74" s="663"/>
      <c r="HD74" s="663"/>
      <c r="HE74" s="663"/>
      <c r="HF74" s="663"/>
      <c r="HG74" s="663"/>
      <c r="HH74" s="663"/>
      <c r="HI74" s="663"/>
      <c r="HJ74" s="663"/>
      <c r="HK74" s="663"/>
      <c r="HL74" s="663"/>
      <c r="HM74" s="663"/>
      <c r="HN74" s="663"/>
      <c r="HO74" s="663"/>
      <c r="HP74" s="663"/>
      <c r="HQ74" s="663"/>
      <c r="HR74" s="663"/>
      <c r="HS74" s="663"/>
      <c r="HT74" s="663"/>
      <c r="HU74" s="663"/>
      <c r="HV74" s="663"/>
      <c r="HW74" s="663"/>
      <c r="HX74" s="663"/>
      <c r="HY74" s="663"/>
      <c r="HZ74" s="663"/>
      <c r="IA74" s="663"/>
      <c r="IB74" s="663"/>
      <c r="IC74" s="663"/>
      <c r="ID74" s="663"/>
      <c r="IE74" s="663"/>
      <c r="IF74" s="663"/>
      <c r="IG74" s="663"/>
      <c r="IH74" s="663"/>
      <c r="II74" s="663"/>
      <c r="IJ74" s="663"/>
      <c r="IK74" s="663"/>
      <c r="IL74" s="663"/>
      <c r="IM74" s="663"/>
      <c r="IN74" s="663"/>
      <c r="IO74" s="663"/>
      <c r="IP74" s="663"/>
      <c r="IQ74" s="663"/>
      <c r="IR74" s="663"/>
      <c r="IS74" s="663"/>
      <c r="IT74" s="663"/>
      <c r="IU74" s="663"/>
      <c r="IV74" s="663"/>
    </row>
    <row r="75" spans="1:256" ht="13.5" customHeight="1">
      <c r="A75" s="530">
        <v>30</v>
      </c>
      <c r="B75" s="34">
        <v>271</v>
      </c>
      <c r="C75" s="34" t="s">
        <v>562</v>
      </c>
      <c r="D75" s="34" t="s">
        <v>516</v>
      </c>
      <c r="E75" s="34" t="s">
        <v>102</v>
      </c>
      <c r="F75" s="534">
        <f>F76</f>
        <v>1</v>
      </c>
      <c r="G75" s="79"/>
      <c r="H75" s="532">
        <f>F75*G75</f>
        <v>0</v>
      </c>
      <c r="I75" s="533" t="s">
        <v>739</v>
      </c>
      <c r="J75" s="664"/>
      <c r="K75" s="665"/>
      <c r="L75" s="666"/>
      <c r="M75" s="666"/>
      <c r="N75" s="666"/>
      <c r="O75" s="667"/>
      <c r="P75" s="668"/>
      <c r="Q75" s="669"/>
      <c r="R75" s="670"/>
      <c r="S75" s="670"/>
      <c r="T75" s="671"/>
      <c r="U75" s="509"/>
      <c r="V75" s="509"/>
      <c r="W75" s="509"/>
      <c r="X75" s="509"/>
      <c r="Y75" s="509"/>
      <c r="Z75" s="509"/>
      <c r="AA75" s="509"/>
      <c r="AB75" s="509"/>
      <c r="AC75" s="509"/>
      <c r="AD75" s="509"/>
      <c r="AE75" s="509"/>
      <c r="AF75" s="509"/>
      <c r="AG75" s="509"/>
      <c r="AH75" s="509"/>
      <c r="AI75" s="509"/>
      <c r="AJ75" s="509"/>
      <c r="AK75" s="509"/>
      <c r="AL75" s="509"/>
      <c r="AM75" s="509"/>
      <c r="AN75" s="509"/>
      <c r="AO75" s="509"/>
      <c r="AP75" s="509"/>
      <c r="AQ75" s="509"/>
      <c r="AR75" s="509"/>
      <c r="AS75" s="508"/>
      <c r="AT75" s="508"/>
      <c r="AU75" s="508"/>
      <c r="AV75" s="508"/>
      <c r="AW75" s="508"/>
      <c r="AX75" s="508"/>
      <c r="AY75" s="508"/>
      <c r="AZ75" s="508"/>
      <c r="BA75" s="508"/>
      <c r="BB75" s="508"/>
      <c r="BC75" s="508"/>
      <c r="BD75" s="508"/>
      <c r="BE75" s="508"/>
      <c r="BF75" s="508"/>
      <c r="BG75" s="508"/>
      <c r="BH75" s="508"/>
      <c r="BI75" s="508"/>
      <c r="BJ75" s="508"/>
      <c r="BK75" s="508"/>
      <c r="BL75" s="508"/>
      <c r="BM75" s="508"/>
      <c r="BN75" s="508"/>
      <c r="BO75" s="508"/>
      <c r="BP75" s="508"/>
      <c r="BQ75" s="508"/>
      <c r="BR75" s="508"/>
      <c r="BS75" s="508"/>
      <c r="BT75" s="508"/>
      <c r="BU75" s="508"/>
      <c r="BV75" s="508"/>
      <c r="BW75" s="508"/>
      <c r="BX75" s="508"/>
      <c r="BY75" s="508"/>
      <c r="BZ75" s="508"/>
      <c r="CA75" s="508"/>
      <c r="CB75" s="508"/>
      <c r="CC75" s="508"/>
      <c r="CD75" s="508"/>
      <c r="CE75" s="508"/>
      <c r="CF75" s="508"/>
      <c r="CG75" s="508"/>
      <c r="CH75" s="508"/>
      <c r="CI75" s="508"/>
      <c r="CJ75" s="508"/>
      <c r="CK75" s="508"/>
      <c r="CL75" s="508"/>
      <c r="CM75" s="508"/>
      <c r="CN75" s="508"/>
      <c r="CO75" s="508"/>
      <c r="CP75" s="508"/>
      <c r="CQ75" s="508"/>
      <c r="CR75" s="508"/>
      <c r="CS75" s="508"/>
      <c r="CT75" s="508"/>
      <c r="CU75" s="508"/>
      <c r="CV75" s="508"/>
      <c r="CW75" s="508"/>
      <c r="CX75" s="508"/>
      <c r="CY75" s="508"/>
      <c r="CZ75" s="508"/>
      <c r="DA75" s="508"/>
      <c r="DB75" s="508"/>
      <c r="DC75" s="508"/>
      <c r="DD75" s="508"/>
      <c r="DE75" s="508"/>
      <c r="DF75" s="508"/>
      <c r="DG75" s="508"/>
      <c r="DH75" s="508"/>
      <c r="DI75" s="508"/>
      <c r="DJ75" s="508"/>
      <c r="DK75" s="508"/>
      <c r="DL75" s="508"/>
      <c r="DM75" s="508"/>
      <c r="DN75" s="508"/>
      <c r="DO75" s="508"/>
      <c r="DP75" s="508"/>
      <c r="DQ75" s="508"/>
      <c r="DR75" s="508"/>
      <c r="DS75" s="508"/>
      <c r="DT75" s="508"/>
      <c r="DU75" s="508"/>
      <c r="DV75" s="508"/>
      <c r="DW75" s="508"/>
      <c r="DX75" s="508"/>
      <c r="DY75" s="508"/>
      <c r="DZ75" s="508"/>
      <c r="EA75" s="508"/>
      <c r="EB75" s="508"/>
      <c r="EC75" s="508"/>
      <c r="ED75" s="508"/>
      <c r="EE75" s="508"/>
      <c r="EF75" s="508"/>
      <c r="EG75" s="508"/>
      <c r="EH75" s="508"/>
      <c r="EI75" s="508"/>
      <c r="EJ75" s="508"/>
      <c r="EK75" s="508"/>
      <c r="EL75" s="508"/>
      <c r="EM75" s="508"/>
      <c r="EN75" s="508"/>
      <c r="EO75" s="508"/>
      <c r="EP75" s="508"/>
      <c r="EQ75" s="508"/>
      <c r="ER75" s="508"/>
      <c r="ES75" s="508"/>
      <c r="ET75" s="508"/>
      <c r="EU75" s="508"/>
      <c r="EV75" s="508"/>
      <c r="EW75" s="508"/>
      <c r="EX75" s="508"/>
      <c r="EY75" s="508"/>
      <c r="EZ75" s="508"/>
      <c r="FA75" s="508"/>
      <c r="FB75" s="508"/>
      <c r="FC75" s="508"/>
      <c r="FD75" s="508"/>
      <c r="FE75" s="508"/>
      <c r="FF75" s="508"/>
      <c r="FG75" s="508"/>
      <c r="FH75" s="508"/>
      <c r="FI75" s="508"/>
      <c r="FJ75" s="508"/>
      <c r="FK75" s="508"/>
      <c r="FL75" s="508"/>
      <c r="FM75" s="508"/>
      <c r="FN75" s="508"/>
      <c r="FO75" s="508"/>
      <c r="FP75" s="508"/>
      <c r="FQ75" s="508"/>
      <c r="FR75" s="508"/>
      <c r="FS75" s="508"/>
      <c r="FT75" s="508"/>
      <c r="FU75" s="508"/>
      <c r="FV75" s="508"/>
      <c r="FW75" s="508"/>
      <c r="FX75" s="508"/>
      <c r="FY75" s="508"/>
      <c r="FZ75" s="508"/>
      <c r="GA75" s="508"/>
      <c r="GB75" s="508"/>
      <c r="GC75" s="508"/>
      <c r="GD75" s="508"/>
      <c r="GE75" s="508"/>
      <c r="GF75" s="508"/>
      <c r="GG75" s="508"/>
      <c r="GH75" s="508"/>
      <c r="GI75" s="508"/>
      <c r="GJ75" s="508"/>
      <c r="GK75" s="508"/>
      <c r="GL75" s="508"/>
      <c r="GM75" s="508"/>
      <c r="GN75" s="508"/>
      <c r="GO75" s="508"/>
      <c r="GP75" s="508"/>
      <c r="GQ75" s="508"/>
      <c r="GR75" s="508"/>
      <c r="GS75" s="508"/>
      <c r="GT75" s="508"/>
      <c r="GU75" s="508"/>
      <c r="GV75" s="508"/>
      <c r="GW75" s="508"/>
      <c r="GX75" s="508"/>
      <c r="GY75" s="508"/>
      <c r="GZ75" s="508"/>
      <c r="HA75" s="508"/>
      <c r="HB75" s="508"/>
      <c r="HC75" s="508"/>
      <c r="HD75" s="508"/>
      <c r="HE75" s="508"/>
      <c r="HF75" s="508"/>
      <c r="HG75" s="508"/>
      <c r="HH75" s="508"/>
      <c r="HI75" s="508"/>
      <c r="HJ75" s="508"/>
      <c r="HK75" s="508"/>
      <c r="HL75" s="508"/>
      <c r="HM75" s="508"/>
      <c r="HN75" s="508"/>
      <c r="HO75" s="508"/>
      <c r="HP75" s="508"/>
      <c r="HQ75" s="508"/>
      <c r="HR75" s="508"/>
      <c r="HS75" s="508"/>
      <c r="HT75" s="508"/>
      <c r="HU75" s="508"/>
      <c r="HV75" s="508"/>
      <c r="HW75" s="508"/>
      <c r="HX75" s="508"/>
      <c r="HY75" s="508"/>
      <c r="HZ75" s="508"/>
      <c r="IA75" s="508"/>
      <c r="IB75" s="508"/>
      <c r="IC75" s="508"/>
      <c r="ID75" s="508"/>
      <c r="IE75" s="508"/>
      <c r="IF75" s="508"/>
      <c r="IG75" s="508"/>
      <c r="IH75" s="508"/>
      <c r="II75" s="508"/>
      <c r="IJ75" s="508"/>
      <c r="IK75" s="508"/>
      <c r="IL75" s="508"/>
      <c r="IM75" s="508"/>
      <c r="IN75" s="508"/>
      <c r="IO75" s="508"/>
      <c r="IP75" s="508"/>
      <c r="IQ75" s="508"/>
      <c r="IR75" s="508"/>
      <c r="IS75" s="508"/>
      <c r="IT75" s="508"/>
      <c r="IU75" s="508"/>
      <c r="IV75" s="508"/>
    </row>
    <row r="76" spans="1:256" ht="13.5" customHeight="1">
      <c r="A76" s="530"/>
      <c r="B76" s="34"/>
      <c r="C76" s="34"/>
      <c r="D76" s="36" t="s">
        <v>517</v>
      </c>
      <c r="E76" s="34"/>
      <c r="F76" s="548">
        <v>1</v>
      </c>
      <c r="G76" s="532"/>
      <c r="H76" s="532"/>
      <c r="I76" s="672"/>
      <c r="J76" s="664"/>
      <c r="K76" s="665"/>
      <c r="L76" s="666"/>
      <c r="M76" s="666"/>
      <c r="N76" s="666"/>
      <c r="O76" s="667"/>
      <c r="P76" s="668"/>
      <c r="Q76" s="669"/>
      <c r="R76" s="670"/>
      <c r="S76" s="670"/>
      <c r="T76" s="671"/>
      <c r="U76" s="509"/>
      <c r="V76" s="509"/>
      <c r="W76" s="509"/>
      <c r="X76" s="509"/>
      <c r="Y76" s="509"/>
      <c r="Z76" s="509"/>
      <c r="AA76" s="509"/>
      <c r="AB76" s="509"/>
      <c r="AC76" s="509"/>
      <c r="AD76" s="509"/>
      <c r="AE76" s="509"/>
      <c r="AF76" s="509"/>
      <c r="AG76" s="509"/>
      <c r="AH76" s="509"/>
      <c r="AI76" s="509"/>
      <c r="AJ76" s="509"/>
      <c r="AK76" s="509"/>
      <c r="AL76" s="509"/>
      <c r="AM76" s="509"/>
      <c r="AN76" s="509"/>
      <c r="AO76" s="509"/>
      <c r="AP76" s="509"/>
      <c r="AQ76" s="509"/>
      <c r="AR76" s="509"/>
      <c r="AS76" s="508"/>
      <c r="AT76" s="508"/>
      <c r="AU76" s="508"/>
      <c r="AV76" s="508"/>
      <c r="AW76" s="508"/>
      <c r="AX76" s="508"/>
      <c r="AY76" s="508"/>
      <c r="AZ76" s="508"/>
      <c r="BA76" s="508"/>
      <c r="BB76" s="508"/>
      <c r="BC76" s="508"/>
      <c r="BD76" s="508"/>
      <c r="BE76" s="508"/>
      <c r="BF76" s="508"/>
      <c r="BG76" s="508"/>
      <c r="BH76" s="508"/>
      <c r="BI76" s="508"/>
      <c r="BJ76" s="508"/>
      <c r="BK76" s="508"/>
      <c r="BL76" s="508"/>
      <c r="BM76" s="508"/>
      <c r="BN76" s="508"/>
      <c r="BO76" s="508"/>
      <c r="BP76" s="508"/>
      <c r="BQ76" s="508"/>
      <c r="BR76" s="508"/>
      <c r="BS76" s="508"/>
      <c r="BT76" s="508"/>
      <c r="BU76" s="508"/>
      <c r="BV76" s="508"/>
      <c r="BW76" s="508"/>
      <c r="BX76" s="508"/>
      <c r="BY76" s="508"/>
      <c r="BZ76" s="508"/>
      <c r="CA76" s="508"/>
      <c r="CB76" s="508"/>
      <c r="CC76" s="508"/>
      <c r="CD76" s="508"/>
      <c r="CE76" s="508"/>
      <c r="CF76" s="508"/>
      <c r="CG76" s="508"/>
      <c r="CH76" s="508"/>
      <c r="CI76" s="508"/>
      <c r="CJ76" s="508"/>
      <c r="CK76" s="508"/>
      <c r="CL76" s="508"/>
      <c r="CM76" s="508"/>
      <c r="CN76" s="508"/>
      <c r="CO76" s="508"/>
      <c r="CP76" s="508"/>
      <c r="CQ76" s="508"/>
      <c r="CR76" s="508"/>
      <c r="CS76" s="508"/>
      <c r="CT76" s="508"/>
      <c r="CU76" s="508"/>
      <c r="CV76" s="508"/>
      <c r="CW76" s="508"/>
      <c r="CX76" s="508"/>
      <c r="CY76" s="508"/>
      <c r="CZ76" s="508"/>
      <c r="DA76" s="508"/>
      <c r="DB76" s="508"/>
      <c r="DC76" s="508"/>
      <c r="DD76" s="508"/>
      <c r="DE76" s="508"/>
      <c r="DF76" s="508"/>
      <c r="DG76" s="508"/>
      <c r="DH76" s="508"/>
      <c r="DI76" s="508"/>
      <c r="DJ76" s="508"/>
      <c r="DK76" s="508"/>
      <c r="DL76" s="508"/>
      <c r="DM76" s="508"/>
      <c r="DN76" s="508"/>
      <c r="DO76" s="508"/>
      <c r="DP76" s="508"/>
      <c r="DQ76" s="508"/>
      <c r="DR76" s="508"/>
      <c r="DS76" s="508"/>
      <c r="DT76" s="508"/>
      <c r="DU76" s="508"/>
      <c r="DV76" s="508"/>
      <c r="DW76" s="508"/>
      <c r="DX76" s="508"/>
      <c r="DY76" s="508"/>
      <c r="DZ76" s="508"/>
      <c r="EA76" s="508"/>
      <c r="EB76" s="508"/>
      <c r="EC76" s="508"/>
      <c r="ED76" s="508"/>
      <c r="EE76" s="508"/>
      <c r="EF76" s="508"/>
      <c r="EG76" s="508"/>
      <c r="EH76" s="508"/>
      <c r="EI76" s="508"/>
      <c r="EJ76" s="508"/>
      <c r="EK76" s="508"/>
      <c r="EL76" s="508"/>
      <c r="EM76" s="508"/>
      <c r="EN76" s="508"/>
      <c r="EO76" s="508"/>
      <c r="EP76" s="508"/>
      <c r="EQ76" s="508"/>
      <c r="ER76" s="508"/>
      <c r="ES76" s="508"/>
      <c r="ET76" s="508"/>
      <c r="EU76" s="508"/>
      <c r="EV76" s="508"/>
      <c r="EW76" s="508"/>
      <c r="EX76" s="508"/>
      <c r="EY76" s="508"/>
      <c r="EZ76" s="508"/>
      <c r="FA76" s="508"/>
      <c r="FB76" s="508"/>
      <c r="FC76" s="508"/>
      <c r="FD76" s="508"/>
      <c r="FE76" s="508"/>
      <c r="FF76" s="508"/>
      <c r="FG76" s="508"/>
      <c r="FH76" s="508"/>
      <c r="FI76" s="508"/>
      <c r="FJ76" s="508"/>
      <c r="FK76" s="508"/>
      <c r="FL76" s="508"/>
      <c r="FM76" s="508"/>
      <c r="FN76" s="508"/>
      <c r="FO76" s="508"/>
      <c r="FP76" s="508"/>
      <c r="FQ76" s="508"/>
      <c r="FR76" s="508"/>
      <c r="FS76" s="508"/>
      <c r="FT76" s="508"/>
      <c r="FU76" s="508"/>
      <c r="FV76" s="508"/>
      <c r="FW76" s="508"/>
      <c r="FX76" s="508"/>
      <c r="FY76" s="508"/>
      <c r="FZ76" s="508"/>
      <c r="GA76" s="508"/>
      <c r="GB76" s="508"/>
      <c r="GC76" s="508"/>
      <c r="GD76" s="508"/>
      <c r="GE76" s="508"/>
      <c r="GF76" s="508"/>
      <c r="GG76" s="508"/>
      <c r="GH76" s="508"/>
      <c r="GI76" s="508"/>
      <c r="GJ76" s="508"/>
      <c r="GK76" s="508"/>
      <c r="GL76" s="508"/>
      <c r="GM76" s="508"/>
      <c r="GN76" s="508"/>
      <c r="GO76" s="508"/>
      <c r="GP76" s="508"/>
      <c r="GQ76" s="508"/>
      <c r="GR76" s="508"/>
      <c r="GS76" s="508"/>
      <c r="GT76" s="508"/>
      <c r="GU76" s="508"/>
      <c r="GV76" s="508"/>
      <c r="GW76" s="508"/>
      <c r="GX76" s="508"/>
      <c r="GY76" s="508"/>
      <c r="GZ76" s="508"/>
      <c r="HA76" s="508"/>
      <c r="HB76" s="508"/>
      <c r="HC76" s="508"/>
      <c r="HD76" s="508"/>
      <c r="HE76" s="508"/>
      <c r="HF76" s="508"/>
      <c r="HG76" s="508"/>
      <c r="HH76" s="508"/>
      <c r="HI76" s="508"/>
      <c r="HJ76" s="508"/>
      <c r="HK76" s="508"/>
      <c r="HL76" s="508"/>
      <c r="HM76" s="508"/>
      <c r="HN76" s="508"/>
      <c r="HO76" s="508"/>
      <c r="HP76" s="508"/>
      <c r="HQ76" s="508"/>
      <c r="HR76" s="508"/>
      <c r="HS76" s="508"/>
      <c r="HT76" s="508"/>
      <c r="HU76" s="508"/>
      <c r="HV76" s="508"/>
      <c r="HW76" s="508"/>
      <c r="HX76" s="508"/>
      <c r="HY76" s="508"/>
      <c r="HZ76" s="508"/>
      <c r="IA76" s="508"/>
      <c r="IB76" s="508"/>
      <c r="IC76" s="508"/>
      <c r="ID76" s="508"/>
      <c r="IE76" s="508"/>
      <c r="IF76" s="508"/>
      <c r="IG76" s="508"/>
      <c r="IH76" s="508"/>
      <c r="II76" s="508"/>
      <c r="IJ76" s="508"/>
      <c r="IK76" s="508"/>
      <c r="IL76" s="508"/>
      <c r="IM76" s="508"/>
      <c r="IN76" s="508"/>
      <c r="IO76" s="508"/>
      <c r="IP76" s="508"/>
      <c r="IQ76" s="508"/>
      <c r="IR76" s="508"/>
      <c r="IS76" s="508"/>
      <c r="IT76" s="508"/>
      <c r="IU76" s="508"/>
      <c r="IV76" s="508"/>
    </row>
    <row r="77" spans="1:256" ht="40.5" customHeight="1">
      <c r="A77" s="530"/>
      <c r="B77" s="34"/>
      <c r="C77" s="34"/>
      <c r="D77" s="36" t="s">
        <v>518</v>
      </c>
      <c r="E77" s="34"/>
      <c r="F77" s="548"/>
      <c r="G77" s="532"/>
      <c r="H77" s="532"/>
      <c r="I77" s="672"/>
      <c r="W77" s="509"/>
      <c r="X77" s="509"/>
      <c r="Y77" s="509"/>
      <c r="Z77" s="509"/>
      <c r="AA77" s="509"/>
      <c r="AB77" s="509"/>
      <c r="AC77" s="509"/>
      <c r="AD77" s="509"/>
      <c r="AE77" s="509"/>
      <c r="AF77" s="509"/>
      <c r="AG77" s="509"/>
      <c r="AH77" s="509"/>
      <c r="AI77" s="509"/>
      <c r="AJ77" s="509"/>
      <c r="AK77" s="509"/>
      <c r="AL77" s="509"/>
      <c r="AM77" s="509"/>
      <c r="AN77" s="509"/>
      <c r="AO77" s="509"/>
      <c r="AP77" s="509"/>
      <c r="AQ77" s="509"/>
      <c r="AR77" s="509"/>
      <c r="AS77" s="508"/>
      <c r="AT77" s="508"/>
      <c r="AU77" s="508"/>
      <c r="AV77" s="508"/>
      <c r="AW77" s="508"/>
      <c r="AX77" s="508"/>
      <c r="AY77" s="508"/>
      <c r="AZ77" s="508"/>
      <c r="BA77" s="508"/>
      <c r="BB77" s="508"/>
      <c r="BC77" s="508"/>
      <c r="BD77" s="508"/>
      <c r="BE77" s="508"/>
      <c r="BF77" s="508"/>
      <c r="BG77" s="508"/>
      <c r="BH77" s="508"/>
      <c r="BI77" s="508"/>
      <c r="BJ77" s="508"/>
      <c r="BK77" s="508"/>
      <c r="BL77" s="508"/>
      <c r="BM77" s="508"/>
      <c r="BN77" s="508"/>
      <c r="BO77" s="508"/>
      <c r="BP77" s="508"/>
      <c r="BQ77" s="508"/>
      <c r="BR77" s="508"/>
      <c r="BS77" s="508"/>
      <c r="BT77" s="508"/>
      <c r="BU77" s="508"/>
      <c r="BV77" s="508"/>
      <c r="BW77" s="508"/>
      <c r="BX77" s="508"/>
      <c r="BY77" s="508"/>
      <c r="BZ77" s="508"/>
      <c r="CA77" s="508"/>
      <c r="CB77" s="508"/>
      <c r="CC77" s="508"/>
      <c r="CD77" s="508"/>
      <c r="CE77" s="508"/>
      <c r="CF77" s="508"/>
      <c r="CG77" s="508"/>
      <c r="CH77" s="508"/>
      <c r="CI77" s="508"/>
      <c r="CJ77" s="508"/>
      <c r="CK77" s="508"/>
      <c r="CL77" s="508"/>
      <c r="CM77" s="508"/>
      <c r="CN77" s="508"/>
      <c r="CO77" s="508"/>
      <c r="CP77" s="508"/>
      <c r="CQ77" s="508"/>
      <c r="CR77" s="508"/>
      <c r="CS77" s="508"/>
      <c r="CT77" s="508"/>
      <c r="CU77" s="508"/>
      <c r="CV77" s="508"/>
      <c r="CW77" s="508"/>
      <c r="CX77" s="508"/>
      <c r="CY77" s="508"/>
      <c r="CZ77" s="508"/>
      <c r="DA77" s="508"/>
      <c r="DB77" s="508"/>
      <c r="DC77" s="508"/>
      <c r="DD77" s="508"/>
      <c r="DE77" s="508"/>
      <c r="DF77" s="508"/>
      <c r="DG77" s="508"/>
      <c r="DH77" s="508"/>
      <c r="DI77" s="508"/>
      <c r="DJ77" s="508"/>
      <c r="DK77" s="508"/>
      <c r="DL77" s="508"/>
      <c r="DM77" s="508"/>
      <c r="DN77" s="508"/>
      <c r="DO77" s="508"/>
      <c r="DP77" s="508"/>
      <c r="DQ77" s="508"/>
      <c r="DR77" s="508"/>
      <c r="DS77" s="508"/>
      <c r="DT77" s="508"/>
      <c r="DU77" s="508"/>
      <c r="DV77" s="508"/>
      <c r="DW77" s="508"/>
      <c r="DX77" s="508"/>
      <c r="DY77" s="508"/>
      <c r="DZ77" s="508"/>
      <c r="EA77" s="508"/>
      <c r="EB77" s="508"/>
      <c r="EC77" s="508"/>
      <c r="ED77" s="508"/>
      <c r="EE77" s="508"/>
      <c r="EF77" s="508"/>
      <c r="EG77" s="508"/>
      <c r="EH77" s="508"/>
      <c r="EI77" s="508"/>
      <c r="EJ77" s="508"/>
      <c r="EK77" s="508"/>
      <c r="EL77" s="508"/>
      <c r="EM77" s="508"/>
      <c r="EN77" s="508"/>
      <c r="EO77" s="508"/>
      <c r="EP77" s="508"/>
      <c r="EQ77" s="508"/>
      <c r="ER77" s="508"/>
      <c r="ES77" s="508"/>
      <c r="ET77" s="508"/>
      <c r="EU77" s="508"/>
      <c r="EV77" s="508"/>
      <c r="EW77" s="508"/>
      <c r="EX77" s="508"/>
      <c r="EY77" s="508"/>
      <c r="EZ77" s="508"/>
      <c r="FA77" s="508"/>
      <c r="FB77" s="508"/>
      <c r="FC77" s="508"/>
      <c r="FD77" s="508"/>
      <c r="FE77" s="508"/>
      <c r="FF77" s="508"/>
      <c r="FG77" s="508"/>
      <c r="FH77" s="508"/>
      <c r="FI77" s="508"/>
      <c r="FJ77" s="508"/>
      <c r="FK77" s="508"/>
      <c r="FL77" s="508"/>
      <c r="FM77" s="508"/>
      <c r="FN77" s="508"/>
      <c r="FO77" s="508"/>
      <c r="FP77" s="508"/>
      <c r="FQ77" s="508"/>
      <c r="FR77" s="508"/>
      <c r="FS77" s="508"/>
      <c r="FT77" s="508"/>
      <c r="FU77" s="508"/>
      <c r="FV77" s="508"/>
      <c r="FW77" s="508"/>
      <c r="FX77" s="508"/>
      <c r="FY77" s="508"/>
      <c r="FZ77" s="508"/>
      <c r="GA77" s="508"/>
      <c r="GB77" s="508"/>
      <c r="GC77" s="508"/>
      <c r="GD77" s="508"/>
      <c r="GE77" s="508"/>
      <c r="GF77" s="508"/>
      <c r="GG77" s="508"/>
      <c r="GH77" s="508"/>
      <c r="GI77" s="508"/>
      <c r="GJ77" s="508"/>
      <c r="GK77" s="508"/>
      <c r="GL77" s="508"/>
      <c r="GM77" s="508"/>
      <c r="GN77" s="508"/>
      <c r="GO77" s="508"/>
      <c r="GP77" s="508"/>
      <c r="GQ77" s="508"/>
      <c r="GR77" s="508"/>
      <c r="GS77" s="508"/>
      <c r="GT77" s="508"/>
      <c r="GU77" s="508"/>
      <c r="GV77" s="508"/>
      <c r="GW77" s="508"/>
      <c r="GX77" s="508"/>
      <c r="GY77" s="508"/>
      <c r="GZ77" s="508"/>
      <c r="HA77" s="508"/>
      <c r="HB77" s="508"/>
      <c r="HC77" s="508"/>
      <c r="HD77" s="508"/>
      <c r="HE77" s="508"/>
      <c r="HF77" s="508"/>
      <c r="HG77" s="508"/>
      <c r="HH77" s="508"/>
      <c r="HI77" s="508"/>
      <c r="HJ77" s="508"/>
      <c r="HK77" s="508"/>
      <c r="HL77" s="508"/>
      <c r="HM77" s="508"/>
      <c r="HN77" s="508"/>
      <c r="HO77" s="508"/>
      <c r="HP77" s="508"/>
      <c r="HQ77" s="508"/>
      <c r="HR77" s="508"/>
      <c r="HS77" s="508"/>
      <c r="HT77" s="508"/>
      <c r="HU77" s="508"/>
      <c r="HV77" s="508"/>
      <c r="HW77" s="508"/>
      <c r="HX77" s="508"/>
      <c r="HY77" s="508"/>
      <c r="HZ77" s="508"/>
      <c r="IA77" s="508"/>
      <c r="IB77" s="508"/>
      <c r="IC77" s="508"/>
      <c r="ID77" s="508"/>
      <c r="IE77" s="508"/>
      <c r="IF77" s="508"/>
      <c r="IG77" s="508"/>
      <c r="IH77" s="508"/>
      <c r="II77" s="508"/>
      <c r="IJ77" s="508"/>
      <c r="IK77" s="508"/>
      <c r="IL77" s="508"/>
      <c r="IM77" s="508"/>
      <c r="IN77" s="508"/>
      <c r="IO77" s="508"/>
      <c r="IP77" s="508"/>
      <c r="IQ77" s="508"/>
      <c r="IR77" s="508"/>
      <c r="IS77" s="508"/>
      <c r="IT77" s="508"/>
      <c r="IU77" s="508"/>
      <c r="IV77" s="508"/>
    </row>
    <row r="78" spans="1:256" ht="13.5" customHeight="1">
      <c r="A78" s="530">
        <v>31</v>
      </c>
      <c r="B78" s="34">
        <v>271</v>
      </c>
      <c r="C78" s="34" t="s">
        <v>180</v>
      </c>
      <c r="D78" s="34" t="s">
        <v>191</v>
      </c>
      <c r="E78" s="34" t="s">
        <v>115</v>
      </c>
      <c r="F78" s="673">
        <f>F79</f>
        <v>16.100000000000001</v>
      </c>
      <c r="G78" s="79"/>
      <c r="H78" s="532">
        <f>F78*G78</f>
        <v>0</v>
      </c>
      <c r="I78" s="533" t="s">
        <v>739</v>
      </c>
      <c r="J78" s="661"/>
      <c r="K78" s="661"/>
      <c r="L78" s="661"/>
      <c r="M78" s="661"/>
      <c r="N78" s="661"/>
      <c r="O78" s="661"/>
      <c r="P78" s="661"/>
      <c r="Q78" s="661"/>
    </row>
    <row r="79" spans="1:256" ht="13.5" customHeight="1">
      <c r="A79" s="530"/>
      <c r="B79" s="34"/>
      <c r="C79" s="674"/>
      <c r="D79" s="36" t="s">
        <v>796</v>
      </c>
      <c r="E79" s="674"/>
      <c r="F79" s="675">
        <f>(16.1)</f>
        <v>16.100000000000001</v>
      </c>
      <c r="G79" s="676"/>
      <c r="H79" s="676"/>
      <c r="I79" s="677"/>
      <c r="K79" s="678"/>
    </row>
    <row r="80" spans="1:256" ht="67.5" customHeight="1">
      <c r="A80" s="679"/>
      <c r="B80" s="680"/>
      <c r="C80" s="681"/>
      <c r="D80" s="388" t="s">
        <v>195</v>
      </c>
      <c r="E80" s="46"/>
      <c r="F80" s="682"/>
      <c r="G80" s="683"/>
      <c r="H80" s="84"/>
      <c r="I80" s="684"/>
      <c r="R80" s="513"/>
      <c r="S80" s="513"/>
      <c r="T80" s="513"/>
      <c r="U80" s="513"/>
      <c r="V80" s="513"/>
      <c r="W80" s="513"/>
      <c r="X80" s="513"/>
      <c r="Y80" s="513"/>
      <c r="Z80" s="513"/>
      <c r="AA80" s="513"/>
      <c r="AB80" s="513"/>
      <c r="AC80" s="513"/>
      <c r="AD80" s="513"/>
      <c r="AE80" s="513"/>
      <c r="AF80" s="513"/>
      <c r="AG80" s="513"/>
      <c r="AH80" s="513"/>
      <c r="AI80" s="513"/>
      <c r="AJ80" s="513"/>
      <c r="AK80" s="513"/>
      <c r="AL80" s="513"/>
      <c r="AM80" s="513"/>
      <c r="AN80" s="513"/>
      <c r="AO80" s="513"/>
      <c r="AP80" s="513"/>
      <c r="AQ80" s="513"/>
      <c r="AR80" s="513"/>
      <c r="AS80" s="77"/>
      <c r="AT80" s="77"/>
      <c r="AU80" s="77"/>
      <c r="AV80" s="77"/>
      <c r="AW80" s="77"/>
      <c r="AX80" s="77"/>
      <c r="AY80" s="77"/>
      <c r="AZ80" s="77"/>
      <c r="BA80" s="77"/>
      <c r="BB80" s="77"/>
      <c r="BC80" s="77"/>
      <c r="BD80" s="77"/>
      <c r="BE80" s="77"/>
      <c r="BF80" s="77"/>
      <c r="BG80" s="77"/>
      <c r="BH80" s="77"/>
      <c r="BI80" s="77"/>
      <c r="BJ80" s="77"/>
      <c r="BK80" s="77"/>
      <c r="BL80" s="77"/>
      <c r="BM80" s="77"/>
      <c r="BN80" s="77"/>
      <c r="BO80" s="77"/>
      <c r="BP80" s="77"/>
      <c r="BQ80" s="77"/>
      <c r="BR80" s="77"/>
      <c r="BS80" s="77"/>
      <c r="BT80" s="77"/>
      <c r="BU80" s="77"/>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c r="DB80" s="77"/>
      <c r="DC80" s="77"/>
      <c r="DD80" s="77"/>
      <c r="DE80" s="77"/>
      <c r="DF80" s="77"/>
      <c r="DG80" s="77"/>
      <c r="DH80" s="77"/>
      <c r="DI80" s="77"/>
      <c r="DJ80" s="77"/>
      <c r="DK80" s="77"/>
      <c r="DL80" s="77"/>
      <c r="DM80" s="77"/>
      <c r="DN80" s="77"/>
      <c r="DO80" s="77"/>
      <c r="DP80" s="77"/>
      <c r="DQ80" s="77"/>
      <c r="DR80" s="77"/>
      <c r="DS80" s="77"/>
      <c r="DT80" s="77"/>
      <c r="DU80" s="77"/>
      <c r="DV80" s="77"/>
      <c r="DW80" s="77"/>
      <c r="DX80" s="77"/>
      <c r="DY80" s="77"/>
      <c r="DZ80" s="77"/>
      <c r="EA80" s="77"/>
      <c r="EB80" s="77"/>
      <c r="EC80" s="77"/>
      <c r="ED80" s="77"/>
      <c r="EE80" s="77"/>
      <c r="EF80" s="77"/>
      <c r="EG80" s="77"/>
      <c r="EH80" s="77"/>
      <c r="EI80" s="77"/>
      <c r="EJ80" s="77"/>
      <c r="EK80" s="77"/>
      <c r="EL80" s="77"/>
      <c r="EM80" s="77"/>
      <c r="EN80" s="77"/>
      <c r="EO80" s="77"/>
      <c r="EP80" s="77"/>
      <c r="EQ80" s="77"/>
      <c r="ER80" s="77"/>
      <c r="ES80" s="77"/>
      <c r="ET80" s="77"/>
      <c r="EU80" s="77"/>
      <c r="EV80" s="77"/>
      <c r="EW80" s="77"/>
      <c r="EX80" s="77"/>
      <c r="EY80" s="77"/>
      <c r="EZ80" s="77"/>
      <c r="FA80" s="77"/>
      <c r="FB80" s="77"/>
      <c r="FC80" s="77"/>
      <c r="FD80" s="77"/>
      <c r="FE80" s="77"/>
      <c r="FF80" s="77"/>
      <c r="FG80" s="77"/>
      <c r="FH80" s="77"/>
      <c r="FI80" s="77"/>
      <c r="FJ80" s="77"/>
      <c r="FK80" s="77"/>
      <c r="FL80" s="77"/>
      <c r="FM80" s="77"/>
      <c r="FN80" s="77"/>
      <c r="FO80" s="77"/>
      <c r="FP80" s="77"/>
      <c r="FQ80" s="77"/>
      <c r="FR80" s="77"/>
      <c r="FS80" s="77"/>
      <c r="FT80" s="77"/>
      <c r="FU80" s="77"/>
      <c r="FV80" s="77"/>
      <c r="FW80" s="77"/>
      <c r="FX80" s="77"/>
      <c r="FY80" s="77"/>
      <c r="FZ80" s="77"/>
      <c r="GA80" s="77"/>
      <c r="GB80" s="77"/>
      <c r="GC80" s="77"/>
      <c r="GD80" s="77"/>
      <c r="GE80" s="77"/>
      <c r="GF80" s="77"/>
      <c r="GG80" s="77"/>
      <c r="GH80" s="77"/>
      <c r="GI80" s="77"/>
      <c r="GJ80" s="77"/>
      <c r="GK80" s="77"/>
      <c r="GL80" s="77"/>
      <c r="GM80" s="77"/>
      <c r="GN80" s="77"/>
      <c r="GO80" s="77"/>
      <c r="GP80" s="77"/>
      <c r="GQ80" s="77"/>
      <c r="GR80" s="77"/>
      <c r="GS80" s="77"/>
      <c r="GT80" s="77"/>
      <c r="GU80" s="77"/>
      <c r="GV80" s="77"/>
      <c r="GW80" s="77"/>
      <c r="GX80" s="77"/>
      <c r="GY80" s="77"/>
      <c r="GZ80" s="77"/>
      <c r="HA80" s="77"/>
      <c r="HB80" s="77"/>
      <c r="HC80" s="77"/>
      <c r="HD80" s="77"/>
      <c r="HE80" s="77"/>
      <c r="HF80" s="77"/>
      <c r="HG80" s="77"/>
      <c r="HH80" s="77"/>
      <c r="HI80" s="77"/>
      <c r="HJ80" s="77"/>
      <c r="HK80" s="77"/>
      <c r="HL80" s="77"/>
      <c r="HM80" s="77"/>
      <c r="HN80" s="77"/>
      <c r="HO80" s="77"/>
      <c r="HP80" s="77"/>
      <c r="HQ80" s="77"/>
      <c r="HR80" s="77"/>
      <c r="HS80" s="77"/>
      <c r="HT80" s="77"/>
      <c r="HU80" s="77"/>
      <c r="HV80" s="77"/>
      <c r="HW80" s="77"/>
      <c r="HX80" s="77"/>
      <c r="HY80" s="77"/>
      <c r="HZ80" s="77"/>
      <c r="IA80" s="77"/>
      <c r="IB80" s="77"/>
      <c r="IC80" s="77"/>
      <c r="ID80" s="77"/>
      <c r="IE80" s="77"/>
      <c r="IF80" s="77"/>
      <c r="IG80" s="77"/>
      <c r="IH80" s="77"/>
      <c r="II80" s="77"/>
      <c r="IJ80" s="77"/>
      <c r="IK80" s="77"/>
      <c r="IL80" s="77"/>
      <c r="IM80" s="77"/>
      <c r="IN80" s="77"/>
      <c r="IO80" s="77"/>
      <c r="IP80" s="77"/>
      <c r="IQ80" s="77"/>
      <c r="IR80" s="77"/>
      <c r="IS80" s="77"/>
      <c r="IT80" s="77"/>
      <c r="IU80" s="77"/>
      <c r="IV80" s="77"/>
    </row>
    <row r="81" spans="1:256" ht="13.5" customHeight="1">
      <c r="A81" s="530">
        <v>32</v>
      </c>
      <c r="B81" s="34">
        <v>271</v>
      </c>
      <c r="C81" s="34" t="s">
        <v>270</v>
      </c>
      <c r="D81" s="34" t="s">
        <v>271</v>
      </c>
      <c r="E81" s="34" t="s">
        <v>115</v>
      </c>
      <c r="F81" s="534">
        <f>F82</f>
        <v>16.100000000000001</v>
      </c>
      <c r="G81" s="79"/>
      <c r="H81" s="532">
        <f>F81*G81</f>
        <v>0</v>
      </c>
      <c r="I81" s="533" t="s">
        <v>739</v>
      </c>
      <c r="J81" s="685"/>
      <c r="K81" s="665"/>
      <c r="L81" s="686"/>
      <c r="M81" s="687"/>
      <c r="N81" s="686"/>
      <c r="O81" s="688"/>
      <c r="P81" s="668"/>
      <c r="Q81" s="689"/>
      <c r="R81" s="670"/>
      <c r="T81" s="686"/>
      <c r="U81" s="690"/>
      <c r="V81" s="691"/>
      <c r="W81" s="509"/>
      <c r="X81" s="509"/>
      <c r="Y81" s="509"/>
      <c r="Z81" s="509"/>
      <c r="AA81" s="509"/>
      <c r="AB81" s="509"/>
      <c r="AC81" s="509"/>
      <c r="AD81" s="509"/>
      <c r="AE81" s="509"/>
      <c r="AF81" s="509"/>
      <c r="AG81" s="509"/>
      <c r="AH81" s="509"/>
      <c r="AI81" s="509"/>
      <c r="AJ81" s="509"/>
      <c r="AK81" s="509"/>
      <c r="AL81" s="509"/>
      <c r="AM81" s="509"/>
      <c r="AN81" s="509"/>
      <c r="AO81" s="509"/>
      <c r="AP81" s="509"/>
      <c r="AQ81" s="509"/>
      <c r="AR81" s="509"/>
      <c r="AS81" s="508"/>
      <c r="AT81" s="508"/>
      <c r="AU81" s="508"/>
      <c r="AV81" s="508"/>
      <c r="AW81" s="508"/>
      <c r="AX81" s="508"/>
      <c r="AY81" s="508"/>
      <c r="AZ81" s="508"/>
      <c r="BA81" s="508"/>
      <c r="BB81" s="508"/>
      <c r="BC81" s="508"/>
      <c r="BD81" s="508"/>
      <c r="BE81" s="508"/>
      <c r="BF81" s="508"/>
      <c r="BG81" s="508"/>
      <c r="BH81" s="508"/>
      <c r="BI81" s="508"/>
      <c r="BJ81" s="508"/>
      <c r="BK81" s="508"/>
      <c r="BL81" s="508"/>
      <c r="BM81" s="508"/>
      <c r="BN81" s="508"/>
      <c r="BO81" s="508"/>
      <c r="BP81" s="508"/>
      <c r="BQ81" s="508"/>
      <c r="BR81" s="508"/>
      <c r="BS81" s="508"/>
      <c r="BT81" s="508"/>
      <c r="BU81" s="508"/>
      <c r="BV81" s="508"/>
      <c r="BW81" s="508"/>
      <c r="BX81" s="508"/>
      <c r="BY81" s="508"/>
      <c r="BZ81" s="508"/>
      <c r="CA81" s="508"/>
      <c r="CB81" s="508"/>
      <c r="CC81" s="508"/>
      <c r="CD81" s="508"/>
      <c r="CE81" s="508"/>
      <c r="CF81" s="508"/>
      <c r="CG81" s="508"/>
      <c r="CH81" s="508"/>
      <c r="CI81" s="508"/>
      <c r="CJ81" s="508"/>
      <c r="CK81" s="508"/>
      <c r="CL81" s="508"/>
      <c r="CM81" s="508"/>
      <c r="CN81" s="508"/>
      <c r="CO81" s="508"/>
      <c r="CP81" s="508"/>
      <c r="CQ81" s="508"/>
      <c r="CR81" s="508"/>
      <c r="CS81" s="508"/>
      <c r="CT81" s="508"/>
      <c r="CU81" s="508"/>
      <c r="CV81" s="508"/>
      <c r="CW81" s="508"/>
      <c r="CX81" s="508"/>
      <c r="CY81" s="508"/>
      <c r="CZ81" s="508"/>
      <c r="DA81" s="508"/>
      <c r="DB81" s="508"/>
      <c r="DC81" s="508"/>
      <c r="DD81" s="508"/>
      <c r="DE81" s="508"/>
      <c r="DF81" s="508"/>
      <c r="DG81" s="508"/>
      <c r="DH81" s="508"/>
      <c r="DI81" s="508"/>
      <c r="DJ81" s="508"/>
      <c r="DK81" s="508"/>
      <c r="DL81" s="508"/>
      <c r="DM81" s="508"/>
      <c r="DN81" s="508"/>
      <c r="DO81" s="508"/>
      <c r="DP81" s="508"/>
      <c r="DQ81" s="508"/>
      <c r="DR81" s="508"/>
      <c r="DS81" s="508"/>
      <c r="DT81" s="508"/>
      <c r="DU81" s="508"/>
      <c r="DV81" s="508"/>
      <c r="DW81" s="508"/>
      <c r="DX81" s="508"/>
      <c r="DY81" s="508"/>
      <c r="DZ81" s="508"/>
      <c r="EA81" s="508"/>
      <c r="EB81" s="508"/>
      <c r="EC81" s="508"/>
      <c r="ED81" s="508"/>
      <c r="EE81" s="508"/>
      <c r="EF81" s="508"/>
      <c r="EG81" s="508"/>
      <c r="EH81" s="508"/>
      <c r="EI81" s="508"/>
      <c r="EJ81" s="508"/>
      <c r="EK81" s="508"/>
      <c r="EL81" s="508"/>
      <c r="EM81" s="508"/>
      <c r="EN81" s="508"/>
      <c r="EO81" s="508"/>
      <c r="EP81" s="508"/>
      <c r="EQ81" s="508"/>
      <c r="ER81" s="508"/>
      <c r="ES81" s="508"/>
      <c r="ET81" s="508"/>
      <c r="EU81" s="508"/>
      <c r="EV81" s="508"/>
      <c r="EW81" s="508"/>
      <c r="EX81" s="508"/>
      <c r="EY81" s="508"/>
      <c r="EZ81" s="508"/>
      <c r="FA81" s="508"/>
      <c r="FB81" s="508"/>
      <c r="FC81" s="508"/>
      <c r="FD81" s="508"/>
      <c r="FE81" s="508"/>
      <c r="FF81" s="508"/>
      <c r="FG81" s="508"/>
      <c r="FH81" s="508"/>
      <c r="FI81" s="508"/>
      <c r="FJ81" s="508"/>
      <c r="FK81" s="508"/>
      <c r="FL81" s="508"/>
      <c r="FM81" s="508"/>
      <c r="FN81" s="508"/>
      <c r="FO81" s="508"/>
      <c r="FP81" s="508"/>
      <c r="FQ81" s="508"/>
      <c r="FR81" s="508"/>
      <c r="FS81" s="508"/>
      <c r="FT81" s="508"/>
      <c r="FU81" s="508"/>
      <c r="FV81" s="508"/>
      <c r="FW81" s="508"/>
      <c r="FX81" s="508"/>
      <c r="FY81" s="508"/>
      <c r="FZ81" s="508"/>
      <c r="GA81" s="508"/>
      <c r="GB81" s="508"/>
      <c r="GC81" s="508"/>
      <c r="GD81" s="508"/>
      <c r="GE81" s="508"/>
      <c r="GF81" s="508"/>
      <c r="GG81" s="508"/>
      <c r="GH81" s="508"/>
      <c r="GI81" s="508"/>
      <c r="GJ81" s="508"/>
      <c r="GK81" s="508"/>
      <c r="GL81" s="508"/>
      <c r="GM81" s="508"/>
      <c r="GN81" s="508"/>
      <c r="GO81" s="508"/>
      <c r="GP81" s="508"/>
      <c r="GQ81" s="508"/>
      <c r="GR81" s="508"/>
      <c r="GS81" s="508"/>
      <c r="GT81" s="508"/>
      <c r="GU81" s="508"/>
      <c r="GV81" s="508"/>
      <c r="GW81" s="508"/>
      <c r="GX81" s="508"/>
      <c r="GY81" s="508"/>
      <c r="GZ81" s="508"/>
      <c r="HA81" s="508"/>
      <c r="HB81" s="508"/>
      <c r="HC81" s="508"/>
      <c r="HD81" s="508"/>
      <c r="HE81" s="508"/>
      <c r="HF81" s="508"/>
      <c r="HG81" s="508"/>
      <c r="HH81" s="508"/>
      <c r="HI81" s="508"/>
      <c r="HJ81" s="508"/>
      <c r="HK81" s="508"/>
      <c r="HL81" s="508"/>
      <c r="HM81" s="508"/>
      <c r="HN81" s="508"/>
      <c r="HO81" s="508"/>
      <c r="HP81" s="508"/>
      <c r="HQ81" s="508"/>
      <c r="HR81" s="508"/>
      <c r="HS81" s="508"/>
      <c r="HT81" s="508"/>
      <c r="HU81" s="508"/>
      <c r="HV81" s="508"/>
      <c r="HW81" s="508"/>
      <c r="HX81" s="508"/>
      <c r="HY81" s="508"/>
      <c r="HZ81" s="508"/>
      <c r="IA81" s="508"/>
      <c r="IB81" s="508"/>
      <c r="IC81" s="508"/>
      <c r="ID81" s="508"/>
      <c r="IE81" s="508"/>
      <c r="IF81" s="508"/>
      <c r="IG81" s="508"/>
      <c r="IH81" s="508"/>
      <c r="II81" s="508"/>
      <c r="IJ81" s="508"/>
      <c r="IK81" s="508"/>
      <c r="IL81" s="508"/>
      <c r="IM81" s="508"/>
      <c r="IN81" s="508"/>
      <c r="IO81" s="508"/>
      <c r="IP81" s="508"/>
      <c r="IQ81" s="508"/>
      <c r="IR81" s="508"/>
      <c r="IS81" s="508"/>
      <c r="IT81" s="508"/>
      <c r="IU81" s="508"/>
      <c r="IV81" s="508"/>
    </row>
    <row r="82" spans="1:256" ht="13.5" customHeight="1">
      <c r="A82" s="530"/>
      <c r="B82" s="34"/>
      <c r="C82" s="34"/>
      <c r="D82" s="36" t="s">
        <v>797</v>
      </c>
      <c r="E82" s="34"/>
      <c r="F82" s="548">
        <f>16.1</f>
        <v>16.100000000000001</v>
      </c>
      <c r="G82" s="532"/>
      <c r="H82" s="532"/>
      <c r="I82" s="672"/>
      <c r="J82" s="685"/>
      <c r="V82" s="690"/>
      <c r="W82" s="690"/>
      <c r="X82" s="690"/>
      <c r="Y82" s="690"/>
      <c r="Z82" s="509"/>
      <c r="AA82" s="509"/>
      <c r="AB82" s="509"/>
      <c r="AC82" s="509"/>
      <c r="AD82" s="509"/>
      <c r="AE82" s="509"/>
      <c r="AF82" s="509"/>
      <c r="AG82" s="509"/>
      <c r="AH82" s="509"/>
      <c r="AI82" s="509"/>
      <c r="AJ82" s="509"/>
      <c r="AK82" s="509"/>
      <c r="AL82" s="509"/>
      <c r="AM82" s="509"/>
      <c r="AN82" s="509"/>
      <c r="AO82" s="509"/>
      <c r="AP82" s="509"/>
      <c r="AQ82" s="509"/>
      <c r="AR82" s="509"/>
      <c r="AS82" s="508"/>
      <c r="AT82" s="508"/>
      <c r="AU82" s="508"/>
      <c r="AV82" s="508"/>
      <c r="AW82" s="508"/>
      <c r="AX82" s="508"/>
      <c r="AY82" s="508"/>
      <c r="AZ82" s="508"/>
      <c r="BA82" s="508"/>
      <c r="BB82" s="508"/>
      <c r="BC82" s="508"/>
      <c r="BD82" s="508"/>
      <c r="BE82" s="508"/>
      <c r="BF82" s="508"/>
      <c r="BG82" s="508"/>
      <c r="BH82" s="508"/>
      <c r="BI82" s="508"/>
      <c r="BJ82" s="508"/>
      <c r="BK82" s="508"/>
      <c r="BL82" s="508"/>
      <c r="BM82" s="508"/>
      <c r="BN82" s="508"/>
      <c r="BO82" s="508"/>
      <c r="BP82" s="508"/>
      <c r="BQ82" s="508"/>
      <c r="BR82" s="508"/>
      <c r="BS82" s="508"/>
      <c r="BT82" s="508"/>
      <c r="BU82" s="508"/>
      <c r="BV82" s="508"/>
      <c r="BW82" s="508"/>
      <c r="BX82" s="508"/>
      <c r="BY82" s="508"/>
      <c r="BZ82" s="508"/>
      <c r="CA82" s="508"/>
      <c r="CB82" s="508"/>
      <c r="CC82" s="508"/>
      <c r="CD82" s="508"/>
      <c r="CE82" s="508"/>
      <c r="CF82" s="508"/>
      <c r="CG82" s="508"/>
      <c r="CH82" s="508"/>
      <c r="CI82" s="508"/>
      <c r="CJ82" s="508"/>
      <c r="CK82" s="508"/>
      <c r="CL82" s="508"/>
      <c r="CM82" s="508"/>
      <c r="CN82" s="508"/>
      <c r="CO82" s="508"/>
      <c r="CP82" s="508"/>
      <c r="CQ82" s="508"/>
      <c r="CR82" s="508"/>
      <c r="CS82" s="508"/>
      <c r="CT82" s="508"/>
      <c r="CU82" s="508"/>
      <c r="CV82" s="508"/>
      <c r="CW82" s="508"/>
      <c r="CX82" s="508"/>
      <c r="CY82" s="508"/>
      <c r="CZ82" s="508"/>
      <c r="DA82" s="508"/>
      <c r="DB82" s="508"/>
      <c r="DC82" s="508"/>
      <c r="DD82" s="508"/>
      <c r="DE82" s="508"/>
      <c r="DF82" s="508"/>
      <c r="DG82" s="508"/>
      <c r="DH82" s="508"/>
      <c r="DI82" s="508"/>
      <c r="DJ82" s="508"/>
      <c r="DK82" s="508"/>
      <c r="DL82" s="508"/>
      <c r="DM82" s="508"/>
      <c r="DN82" s="508"/>
      <c r="DO82" s="508"/>
      <c r="DP82" s="508"/>
      <c r="DQ82" s="508"/>
      <c r="DR82" s="508"/>
      <c r="DS82" s="508"/>
      <c r="DT82" s="508"/>
      <c r="DU82" s="508"/>
      <c r="DV82" s="508"/>
      <c r="DW82" s="508"/>
      <c r="DX82" s="508"/>
      <c r="DY82" s="508"/>
      <c r="DZ82" s="508"/>
      <c r="EA82" s="508"/>
      <c r="EB82" s="508"/>
      <c r="EC82" s="508"/>
      <c r="ED82" s="508"/>
      <c r="EE82" s="508"/>
      <c r="EF82" s="508"/>
      <c r="EG82" s="508"/>
      <c r="EH82" s="508"/>
      <c r="EI82" s="508"/>
      <c r="EJ82" s="508"/>
      <c r="EK82" s="508"/>
      <c r="EL82" s="508"/>
      <c r="EM82" s="508"/>
      <c r="EN82" s="508"/>
      <c r="EO82" s="508"/>
      <c r="EP82" s="508"/>
      <c r="EQ82" s="508"/>
      <c r="ER82" s="508"/>
      <c r="ES82" s="508"/>
      <c r="ET82" s="508"/>
      <c r="EU82" s="508"/>
      <c r="EV82" s="508"/>
      <c r="EW82" s="508"/>
      <c r="EX82" s="508"/>
      <c r="EY82" s="508"/>
      <c r="EZ82" s="508"/>
      <c r="FA82" s="508"/>
      <c r="FB82" s="508"/>
      <c r="FC82" s="508"/>
      <c r="FD82" s="508"/>
      <c r="FE82" s="508"/>
      <c r="FF82" s="508"/>
      <c r="FG82" s="508"/>
      <c r="FH82" s="508"/>
      <c r="FI82" s="508"/>
      <c r="FJ82" s="508"/>
      <c r="FK82" s="508"/>
      <c r="FL82" s="508"/>
      <c r="FM82" s="508"/>
      <c r="FN82" s="508"/>
      <c r="FO82" s="508"/>
      <c r="FP82" s="508"/>
      <c r="FQ82" s="508"/>
      <c r="FR82" s="508"/>
      <c r="FS82" s="508"/>
      <c r="FT82" s="508"/>
      <c r="FU82" s="508"/>
      <c r="FV82" s="508"/>
      <c r="FW82" s="508"/>
      <c r="FX82" s="508"/>
      <c r="FY82" s="508"/>
      <c r="FZ82" s="508"/>
      <c r="GA82" s="508"/>
      <c r="GB82" s="508"/>
      <c r="GC82" s="508"/>
      <c r="GD82" s="508"/>
      <c r="GE82" s="508"/>
      <c r="GF82" s="508"/>
      <c r="GG82" s="508"/>
      <c r="GH82" s="508"/>
      <c r="GI82" s="508"/>
      <c r="GJ82" s="508"/>
      <c r="GK82" s="508"/>
      <c r="GL82" s="508"/>
      <c r="GM82" s="508"/>
      <c r="GN82" s="508"/>
      <c r="GO82" s="508"/>
      <c r="GP82" s="508"/>
      <c r="GQ82" s="508"/>
      <c r="GR82" s="508"/>
      <c r="GS82" s="508"/>
      <c r="GT82" s="508"/>
      <c r="GU82" s="508"/>
      <c r="GV82" s="508"/>
      <c r="GW82" s="508"/>
      <c r="GX82" s="508"/>
      <c r="GY82" s="508"/>
      <c r="GZ82" s="508"/>
      <c r="HA82" s="508"/>
      <c r="HB82" s="508"/>
      <c r="HC82" s="508"/>
      <c r="HD82" s="508"/>
      <c r="HE82" s="508"/>
      <c r="HF82" s="508"/>
      <c r="HG82" s="508"/>
      <c r="HH82" s="508"/>
      <c r="HI82" s="508"/>
      <c r="HJ82" s="508"/>
      <c r="HK82" s="508"/>
      <c r="HL82" s="508"/>
      <c r="HM82" s="508"/>
      <c r="HN82" s="508"/>
      <c r="HO82" s="508"/>
      <c r="HP82" s="508"/>
      <c r="HQ82" s="508"/>
      <c r="HR82" s="508"/>
      <c r="HS82" s="508"/>
      <c r="HT82" s="508"/>
      <c r="HU82" s="508"/>
      <c r="HV82" s="508"/>
      <c r="HW82" s="508"/>
      <c r="HX82" s="508"/>
      <c r="HY82" s="508"/>
      <c r="HZ82" s="508"/>
      <c r="IA82" s="508"/>
      <c r="IB82" s="508"/>
      <c r="IC82" s="508"/>
      <c r="ID82" s="508"/>
      <c r="IE82" s="508"/>
      <c r="IF82" s="508"/>
      <c r="IG82" s="508"/>
      <c r="IH82" s="508"/>
      <c r="II82" s="508"/>
      <c r="IJ82" s="508"/>
      <c r="IK82" s="508"/>
      <c r="IL82" s="508"/>
      <c r="IM82" s="508"/>
      <c r="IN82" s="508"/>
      <c r="IO82" s="508"/>
      <c r="IP82" s="508"/>
      <c r="IQ82" s="508"/>
      <c r="IR82" s="508"/>
      <c r="IS82" s="508"/>
      <c r="IT82" s="508"/>
      <c r="IU82" s="508"/>
      <c r="IV82" s="508"/>
    </row>
    <row r="83" spans="1:256" ht="67.5" customHeight="1">
      <c r="A83" s="530"/>
      <c r="B83" s="34"/>
      <c r="C83" s="34"/>
      <c r="D83" s="388" t="s">
        <v>195</v>
      </c>
      <c r="E83" s="34"/>
      <c r="F83" s="548"/>
      <c r="G83" s="532"/>
      <c r="H83" s="532"/>
      <c r="I83" s="672"/>
      <c r="J83" s="665"/>
      <c r="K83" s="665"/>
      <c r="L83" s="666"/>
      <c r="M83" s="666"/>
      <c r="N83" s="666"/>
      <c r="O83" s="667"/>
      <c r="P83" s="668"/>
      <c r="Q83" s="669"/>
      <c r="R83" s="670"/>
      <c r="S83" s="670"/>
      <c r="T83" s="671"/>
      <c r="U83" s="509"/>
      <c r="V83" s="509"/>
      <c r="W83" s="509"/>
      <c r="X83" s="509"/>
      <c r="Y83" s="509"/>
      <c r="Z83" s="509"/>
      <c r="AA83" s="509"/>
      <c r="AB83" s="509"/>
      <c r="AC83" s="509"/>
      <c r="AD83" s="509"/>
      <c r="AE83" s="509"/>
      <c r="AF83" s="509"/>
      <c r="AG83" s="509"/>
      <c r="AH83" s="509"/>
      <c r="AI83" s="509"/>
      <c r="AJ83" s="509"/>
      <c r="AK83" s="509"/>
      <c r="AL83" s="509"/>
      <c r="AM83" s="509"/>
      <c r="AN83" s="509"/>
      <c r="AO83" s="509"/>
      <c r="AP83" s="509"/>
      <c r="AQ83" s="509"/>
      <c r="AR83" s="509"/>
      <c r="AS83" s="508"/>
      <c r="AT83" s="508"/>
      <c r="AU83" s="508"/>
      <c r="AV83" s="508"/>
      <c r="AW83" s="508"/>
      <c r="AX83" s="508"/>
      <c r="AY83" s="508"/>
      <c r="AZ83" s="508"/>
      <c r="BA83" s="508"/>
      <c r="BB83" s="508"/>
      <c r="BC83" s="508"/>
      <c r="BD83" s="508"/>
      <c r="BE83" s="508"/>
      <c r="BF83" s="508"/>
      <c r="BG83" s="508"/>
      <c r="BH83" s="508"/>
      <c r="BI83" s="508"/>
      <c r="BJ83" s="508"/>
      <c r="BK83" s="508"/>
      <c r="BL83" s="508"/>
      <c r="BM83" s="508"/>
      <c r="BN83" s="508"/>
      <c r="BO83" s="508"/>
      <c r="BP83" s="508"/>
      <c r="BQ83" s="508"/>
      <c r="BR83" s="508"/>
      <c r="BS83" s="508"/>
      <c r="BT83" s="508"/>
      <c r="BU83" s="508"/>
      <c r="BV83" s="508"/>
      <c r="BW83" s="508"/>
      <c r="BX83" s="508"/>
      <c r="BY83" s="508"/>
      <c r="BZ83" s="508"/>
      <c r="CA83" s="508"/>
      <c r="CB83" s="508"/>
      <c r="CC83" s="508"/>
      <c r="CD83" s="508"/>
      <c r="CE83" s="508"/>
      <c r="CF83" s="508"/>
      <c r="CG83" s="508"/>
      <c r="CH83" s="508"/>
      <c r="CI83" s="508"/>
      <c r="CJ83" s="508"/>
      <c r="CK83" s="508"/>
      <c r="CL83" s="508"/>
      <c r="CM83" s="508"/>
      <c r="CN83" s="508"/>
      <c r="CO83" s="508"/>
      <c r="CP83" s="508"/>
      <c r="CQ83" s="508"/>
      <c r="CR83" s="508"/>
      <c r="CS83" s="508"/>
      <c r="CT83" s="508"/>
      <c r="CU83" s="508"/>
      <c r="CV83" s="508"/>
      <c r="CW83" s="508"/>
      <c r="CX83" s="508"/>
      <c r="CY83" s="508"/>
      <c r="CZ83" s="508"/>
      <c r="DA83" s="508"/>
      <c r="DB83" s="508"/>
      <c r="DC83" s="508"/>
      <c r="DD83" s="508"/>
      <c r="DE83" s="508"/>
      <c r="DF83" s="508"/>
      <c r="DG83" s="508"/>
      <c r="DH83" s="508"/>
      <c r="DI83" s="508"/>
      <c r="DJ83" s="508"/>
      <c r="DK83" s="508"/>
      <c r="DL83" s="508"/>
      <c r="DM83" s="508"/>
      <c r="DN83" s="508"/>
      <c r="DO83" s="508"/>
      <c r="DP83" s="508"/>
      <c r="DQ83" s="508"/>
      <c r="DR83" s="508"/>
      <c r="DS83" s="508"/>
      <c r="DT83" s="508"/>
      <c r="DU83" s="508"/>
      <c r="DV83" s="508"/>
      <c r="DW83" s="508"/>
      <c r="DX83" s="508"/>
      <c r="DY83" s="508"/>
      <c r="DZ83" s="508"/>
      <c r="EA83" s="508"/>
      <c r="EB83" s="508"/>
      <c r="EC83" s="508"/>
      <c r="ED83" s="508"/>
      <c r="EE83" s="508"/>
      <c r="EF83" s="508"/>
      <c r="EG83" s="508"/>
      <c r="EH83" s="508"/>
      <c r="EI83" s="508"/>
      <c r="EJ83" s="508"/>
      <c r="EK83" s="508"/>
      <c r="EL83" s="508"/>
      <c r="EM83" s="508"/>
      <c r="EN83" s="508"/>
      <c r="EO83" s="508"/>
      <c r="EP83" s="508"/>
      <c r="EQ83" s="508"/>
      <c r="ER83" s="508"/>
      <c r="ES83" s="508"/>
      <c r="ET83" s="508"/>
      <c r="EU83" s="508"/>
      <c r="EV83" s="508"/>
      <c r="EW83" s="508"/>
      <c r="EX83" s="508"/>
      <c r="EY83" s="508"/>
      <c r="EZ83" s="508"/>
      <c r="FA83" s="508"/>
      <c r="FB83" s="508"/>
      <c r="FC83" s="508"/>
      <c r="FD83" s="508"/>
      <c r="FE83" s="508"/>
      <c r="FF83" s="508"/>
      <c r="FG83" s="508"/>
      <c r="FH83" s="508"/>
      <c r="FI83" s="508"/>
      <c r="FJ83" s="508"/>
      <c r="FK83" s="508"/>
      <c r="FL83" s="508"/>
      <c r="FM83" s="508"/>
      <c r="FN83" s="508"/>
      <c r="FO83" s="508"/>
      <c r="FP83" s="508"/>
      <c r="FQ83" s="508"/>
      <c r="FR83" s="508"/>
      <c r="FS83" s="508"/>
      <c r="FT83" s="508"/>
      <c r="FU83" s="508"/>
      <c r="FV83" s="508"/>
      <c r="FW83" s="508"/>
      <c r="FX83" s="508"/>
      <c r="FY83" s="508"/>
      <c r="FZ83" s="508"/>
      <c r="GA83" s="508"/>
      <c r="GB83" s="508"/>
      <c r="GC83" s="508"/>
      <c r="GD83" s="508"/>
      <c r="GE83" s="508"/>
      <c r="GF83" s="508"/>
      <c r="GG83" s="508"/>
      <c r="GH83" s="508"/>
      <c r="GI83" s="508"/>
      <c r="GJ83" s="508"/>
      <c r="GK83" s="508"/>
      <c r="GL83" s="508"/>
      <c r="GM83" s="508"/>
      <c r="GN83" s="508"/>
      <c r="GO83" s="508"/>
      <c r="GP83" s="508"/>
      <c r="GQ83" s="508"/>
      <c r="GR83" s="508"/>
      <c r="GS83" s="508"/>
      <c r="GT83" s="508"/>
      <c r="GU83" s="508"/>
      <c r="GV83" s="508"/>
      <c r="GW83" s="508"/>
      <c r="GX83" s="508"/>
      <c r="GY83" s="508"/>
      <c r="GZ83" s="508"/>
      <c r="HA83" s="508"/>
      <c r="HB83" s="508"/>
      <c r="HC83" s="508"/>
      <c r="HD83" s="508"/>
      <c r="HE83" s="508"/>
      <c r="HF83" s="508"/>
      <c r="HG83" s="508"/>
      <c r="HH83" s="508"/>
      <c r="HI83" s="508"/>
      <c r="HJ83" s="508"/>
      <c r="HK83" s="508"/>
      <c r="HL83" s="508"/>
      <c r="HM83" s="508"/>
      <c r="HN83" s="508"/>
      <c r="HO83" s="508"/>
      <c r="HP83" s="508"/>
      <c r="HQ83" s="508"/>
      <c r="HR83" s="508"/>
      <c r="HS83" s="508"/>
      <c r="HT83" s="508"/>
      <c r="HU83" s="508"/>
      <c r="HV83" s="508"/>
      <c r="HW83" s="508"/>
      <c r="HX83" s="508"/>
      <c r="HY83" s="508"/>
      <c r="HZ83" s="508"/>
      <c r="IA83" s="508"/>
      <c r="IB83" s="508"/>
      <c r="IC83" s="508"/>
      <c r="ID83" s="508"/>
      <c r="IE83" s="508"/>
      <c r="IF83" s="508"/>
      <c r="IG83" s="508"/>
      <c r="IH83" s="508"/>
      <c r="II83" s="508"/>
      <c r="IJ83" s="508"/>
      <c r="IK83" s="508"/>
      <c r="IL83" s="508"/>
      <c r="IM83" s="508"/>
      <c r="IN83" s="508"/>
      <c r="IO83" s="508"/>
      <c r="IP83" s="508"/>
      <c r="IQ83" s="508"/>
      <c r="IR83" s="508"/>
      <c r="IS83" s="508"/>
      <c r="IT83" s="508"/>
      <c r="IU83" s="508"/>
      <c r="IV83" s="508"/>
    </row>
    <row r="84" spans="1:256" ht="13.5" customHeight="1">
      <c r="A84" s="530">
        <v>33</v>
      </c>
      <c r="B84" s="34">
        <v>271</v>
      </c>
      <c r="C84" s="34" t="s">
        <v>272</v>
      </c>
      <c r="D84" s="34" t="s">
        <v>273</v>
      </c>
      <c r="E84" s="34" t="s">
        <v>115</v>
      </c>
      <c r="F84" s="534">
        <f>F85</f>
        <v>16.100000000000001</v>
      </c>
      <c r="G84" s="79"/>
      <c r="H84" s="532">
        <f>F84*G84</f>
        <v>0</v>
      </c>
      <c r="I84" s="533" t="s">
        <v>739</v>
      </c>
      <c r="J84" s="685"/>
      <c r="K84" s="665"/>
      <c r="L84" s="686"/>
      <c r="M84" s="687"/>
      <c r="N84" s="686"/>
      <c r="O84" s="688"/>
      <c r="P84" s="668"/>
      <c r="Q84" s="689"/>
      <c r="R84" s="670"/>
      <c r="T84" s="686"/>
      <c r="U84" s="690"/>
      <c r="V84" s="691"/>
      <c r="W84" s="509"/>
      <c r="X84" s="509"/>
      <c r="Y84" s="509"/>
      <c r="Z84" s="509"/>
      <c r="AA84" s="509"/>
      <c r="AB84" s="509"/>
      <c r="AC84" s="509"/>
      <c r="AD84" s="509"/>
      <c r="AE84" s="509"/>
      <c r="AF84" s="509"/>
      <c r="AG84" s="509"/>
      <c r="AH84" s="509"/>
      <c r="AI84" s="509"/>
      <c r="AJ84" s="509"/>
      <c r="AK84" s="509"/>
      <c r="AL84" s="509"/>
      <c r="AM84" s="509"/>
      <c r="AN84" s="509"/>
      <c r="AO84" s="509"/>
      <c r="AP84" s="509"/>
      <c r="AQ84" s="509"/>
      <c r="AR84" s="509"/>
      <c r="AS84" s="508"/>
      <c r="AT84" s="508"/>
      <c r="AU84" s="508"/>
      <c r="AV84" s="508"/>
      <c r="AW84" s="508"/>
      <c r="AX84" s="508"/>
      <c r="AY84" s="508"/>
      <c r="AZ84" s="508"/>
      <c r="BA84" s="508"/>
      <c r="BB84" s="508"/>
      <c r="BC84" s="508"/>
      <c r="BD84" s="508"/>
      <c r="BE84" s="508"/>
      <c r="BF84" s="508"/>
      <c r="BG84" s="508"/>
      <c r="BH84" s="508"/>
      <c r="BI84" s="508"/>
      <c r="BJ84" s="508"/>
      <c r="BK84" s="508"/>
      <c r="BL84" s="508"/>
      <c r="BM84" s="508"/>
      <c r="BN84" s="508"/>
      <c r="BO84" s="508"/>
      <c r="BP84" s="508"/>
      <c r="BQ84" s="508"/>
      <c r="BR84" s="508"/>
      <c r="BS84" s="508"/>
      <c r="BT84" s="508"/>
      <c r="BU84" s="508"/>
      <c r="BV84" s="508"/>
      <c r="BW84" s="508"/>
      <c r="BX84" s="508"/>
      <c r="BY84" s="508"/>
      <c r="BZ84" s="508"/>
      <c r="CA84" s="508"/>
      <c r="CB84" s="508"/>
      <c r="CC84" s="508"/>
      <c r="CD84" s="508"/>
      <c r="CE84" s="508"/>
      <c r="CF84" s="508"/>
      <c r="CG84" s="508"/>
      <c r="CH84" s="508"/>
      <c r="CI84" s="508"/>
      <c r="CJ84" s="508"/>
      <c r="CK84" s="508"/>
      <c r="CL84" s="508"/>
      <c r="CM84" s="508"/>
      <c r="CN84" s="508"/>
      <c r="CO84" s="508"/>
      <c r="CP84" s="508"/>
      <c r="CQ84" s="508"/>
      <c r="CR84" s="508"/>
      <c r="CS84" s="508"/>
      <c r="CT84" s="508"/>
      <c r="CU84" s="508"/>
      <c r="CV84" s="508"/>
      <c r="CW84" s="508"/>
      <c r="CX84" s="508"/>
      <c r="CY84" s="508"/>
      <c r="CZ84" s="508"/>
      <c r="DA84" s="508"/>
      <c r="DB84" s="508"/>
      <c r="DC84" s="508"/>
      <c r="DD84" s="508"/>
      <c r="DE84" s="508"/>
      <c r="DF84" s="508"/>
      <c r="DG84" s="508"/>
      <c r="DH84" s="508"/>
      <c r="DI84" s="508"/>
      <c r="DJ84" s="508"/>
      <c r="DK84" s="508"/>
      <c r="DL84" s="508"/>
      <c r="DM84" s="508"/>
      <c r="DN84" s="508"/>
      <c r="DO84" s="508"/>
      <c r="DP84" s="508"/>
      <c r="DQ84" s="508"/>
      <c r="DR84" s="508"/>
      <c r="DS84" s="508"/>
      <c r="DT84" s="508"/>
      <c r="DU84" s="508"/>
      <c r="DV84" s="508"/>
      <c r="DW84" s="508"/>
      <c r="DX84" s="508"/>
      <c r="DY84" s="508"/>
      <c r="DZ84" s="508"/>
      <c r="EA84" s="508"/>
      <c r="EB84" s="508"/>
      <c r="EC84" s="508"/>
      <c r="ED84" s="508"/>
      <c r="EE84" s="508"/>
      <c r="EF84" s="508"/>
      <c r="EG84" s="508"/>
      <c r="EH84" s="508"/>
      <c r="EI84" s="508"/>
      <c r="EJ84" s="508"/>
      <c r="EK84" s="508"/>
      <c r="EL84" s="508"/>
      <c r="EM84" s="508"/>
      <c r="EN84" s="508"/>
      <c r="EO84" s="508"/>
      <c r="EP84" s="508"/>
      <c r="EQ84" s="508"/>
      <c r="ER84" s="508"/>
      <c r="ES84" s="508"/>
      <c r="ET84" s="508"/>
      <c r="EU84" s="508"/>
      <c r="EV84" s="508"/>
      <c r="EW84" s="508"/>
      <c r="EX84" s="508"/>
      <c r="EY84" s="508"/>
      <c r="EZ84" s="508"/>
      <c r="FA84" s="508"/>
      <c r="FB84" s="508"/>
      <c r="FC84" s="508"/>
      <c r="FD84" s="508"/>
      <c r="FE84" s="508"/>
      <c r="FF84" s="508"/>
      <c r="FG84" s="508"/>
      <c r="FH84" s="508"/>
      <c r="FI84" s="508"/>
      <c r="FJ84" s="508"/>
      <c r="FK84" s="508"/>
      <c r="FL84" s="508"/>
      <c r="FM84" s="508"/>
      <c r="FN84" s="508"/>
      <c r="FO84" s="508"/>
      <c r="FP84" s="508"/>
      <c r="FQ84" s="508"/>
      <c r="FR84" s="508"/>
      <c r="FS84" s="508"/>
      <c r="FT84" s="508"/>
      <c r="FU84" s="508"/>
      <c r="FV84" s="508"/>
      <c r="FW84" s="508"/>
      <c r="FX84" s="508"/>
      <c r="FY84" s="508"/>
      <c r="FZ84" s="508"/>
      <c r="GA84" s="508"/>
      <c r="GB84" s="508"/>
      <c r="GC84" s="508"/>
      <c r="GD84" s="508"/>
      <c r="GE84" s="508"/>
      <c r="GF84" s="508"/>
      <c r="GG84" s="508"/>
      <c r="GH84" s="508"/>
      <c r="GI84" s="508"/>
      <c r="GJ84" s="508"/>
      <c r="GK84" s="508"/>
      <c r="GL84" s="508"/>
      <c r="GM84" s="508"/>
      <c r="GN84" s="508"/>
      <c r="GO84" s="508"/>
      <c r="GP84" s="508"/>
      <c r="GQ84" s="508"/>
      <c r="GR84" s="508"/>
      <c r="GS84" s="508"/>
      <c r="GT84" s="508"/>
      <c r="GU84" s="508"/>
      <c r="GV84" s="508"/>
      <c r="GW84" s="508"/>
      <c r="GX84" s="508"/>
      <c r="GY84" s="508"/>
      <c r="GZ84" s="508"/>
      <c r="HA84" s="508"/>
      <c r="HB84" s="508"/>
      <c r="HC84" s="508"/>
      <c r="HD84" s="508"/>
      <c r="HE84" s="508"/>
      <c r="HF84" s="508"/>
      <c r="HG84" s="508"/>
      <c r="HH84" s="508"/>
      <c r="HI84" s="508"/>
      <c r="HJ84" s="508"/>
      <c r="HK84" s="508"/>
      <c r="HL84" s="508"/>
      <c r="HM84" s="508"/>
      <c r="HN84" s="508"/>
      <c r="HO84" s="508"/>
      <c r="HP84" s="508"/>
      <c r="HQ84" s="508"/>
      <c r="HR84" s="508"/>
      <c r="HS84" s="508"/>
      <c r="HT84" s="508"/>
      <c r="HU84" s="508"/>
      <c r="HV84" s="508"/>
      <c r="HW84" s="508"/>
      <c r="HX84" s="508"/>
      <c r="HY84" s="508"/>
      <c r="HZ84" s="508"/>
      <c r="IA84" s="508"/>
      <c r="IB84" s="508"/>
      <c r="IC84" s="508"/>
      <c r="ID84" s="508"/>
      <c r="IE84" s="508"/>
      <c r="IF84" s="508"/>
      <c r="IG84" s="508"/>
      <c r="IH84" s="508"/>
      <c r="II84" s="508"/>
      <c r="IJ84" s="508"/>
      <c r="IK84" s="508"/>
      <c r="IL84" s="508"/>
      <c r="IM84" s="508"/>
      <c r="IN84" s="508"/>
      <c r="IO84" s="508"/>
      <c r="IP84" s="508"/>
      <c r="IQ84" s="508"/>
      <c r="IR84" s="508"/>
      <c r="IS84" s="508"/>
      <c r="IT84" s="508"/>
      <c r="IU84" s="508"/>
      <c r="IV84" s="508"/>
    </row>
    <row r="85" spans="1:256" ht="27" customHeight="1">
      <c r="A85" s="530"/>
      <c r="B85" s="34"/>
      <c r="C85" s="34"/>
      <c r="D85" s="36" t="s">
        <v>798</v>
      </c>
      <c r="E85" s="34"/>
      <c r="F85" s="548">
        <f>16.1</f>
        <v>16.100000000000001</v>
      </c>
      <c r="G85" s="532"/>
      <c r="H85" s="532"/>
      <c r="I85" s="672"/>
      <c r="J85" s="685"/>
      <c r="V85" s="509"/>
      <c r="W85" s="509"/>
      <c r="X85" s="509"/>
      <c r="Y85" s="509"/>
      <c r="Z85" s="509"/>
      <c r="AA85" s="509"/>
      <c r="AB85" s="509"/>
      <c r="AC85" s="509"/>
      <c r="AD85" s="509"/>
      <c r="AE85" s="509"/>
      <c r="AF85" s="509"/>
      <c r="AG85" s="509"/>
      <c r="AH85" s="509"/>
      <c r="AI85" s="509"/>
      <c r="AJ85" s="509"/>
      <c r="AK85" s="509"/>
      <c r="AL85" s="509"/>
      <c r="AM85" s="509"/>
      <c r="AN85" s="509"/>
      <c r="AO85" s="509"/>
      <c r="AP85" s="509"/>
      <c r="AQ85" s="509"/>
      <c r="AR85" s="509"/>
      <c r="AS85" s="508"/>
      <c r="AT85" s="508"/>
      <c r="AU85" s="508"/>
      <c r="AV85" s="508"/>
      <c r="AW85" s="508"/>
      <c r="AX85" s="508"/>
      <c r="AY85" s="508"/>
      <c r="AZ85" s="508"/>
      <c r="BA85" s="508"/>
      <c r="BB85" s="508"/>
      <c r="BC85" s="508"/>
      <c r="BD85" s="508"/>
      <c r="BE85" s="508"/>
      <c r="BF85" s="508"/>
      <c r="BG85" s="508"/>
      <c r="BH85" s="508"/>
      <c r="BI85" s="508"/>
      <c r="BJ85" s="508"/>
      <c r="BK85" s="508"/>
      <c r="BL85" s="508"/>
      <c r="BM85" s="508"/>
      <c r="BN85" s="508"/>
      <c r="BO85" s="508"/>
      <c r="BP85" s="508"/>
      <c r="BQ85" s="508"/>
      <c r="BR85" s="508"/>
      <c r="BS85" s="508"/>
      <c r="BT85" s="508"/>
      <c r="BU85" s="508"/>
      <c r="BV85" s="508"/>
      <c r="BW85" s="508"/>
      <c r="BX85" s="508"/>
      <c r="BY85" s="508"/>
      <c r="BZ85" s="508"/>
      <c r="CA85" s="508"/>
      <c r="CB85" s="508"/>
      <c r="CC85" s="508"/>
      <c r="CD85" s="508"/>
      <c r="CE85" s="508"/>
      <c r="CF85" s="508"/>
      <c r="CG85" s="508"/>
      <c r="CH85" s="508"/>
      <c r="CI85" s="508"/>
      <c r="CJ85" s="508"/>
      <c r="CK85" s="508"/>
      <c r="CL85" s="508"/>
      <c r="CM85" s="508"/>
      <c r="CN85" s="508"/>
      <c r="CO85" s="508"/>
      <c r="CP85" s="508"/>
      <c r="CQ85" s="508"/>
      <c r="CR85" s="508"/>
      <c r="CS85" s="508"/>
      <c r="CT85" s="508"/>
      <c r="CU85" s="508"/>
      <c r="CV85" s="508"/>
      <c r="CW85" s="508"/>
      <c r="CX85" s="508"/>
      <c r="CY85" s="508"/>
      <c r="CZ85" s="508"/>
      <c r="DA85" s="508"/>
      <c r="DB85" s="508"/>
      <c r="DC85" s="508"/>
      <c r="DD85" s="508"/>
      <c r="DE85" s="508"/>
      <c r="DF85" s="508"/>
      <c r="DG85" s="508"/>
      <c r="DH85" s="508"/>
      <c r="DI85" s="508"/>
      <c r="DJ85" s="508"/>
      <c r="DK85" s="508"/>
      <c r="DL85" s="508"/>
      <c r="DM85" s="508"/>
      <c r="DN85" s="508"/>
      <c r="DO85" s="508"/>
      <c r="DP85" s="508"/>
      <c r="DQ85" s="508"/>
      <c r="DR85" s="508"/>
      <c r="DS85" s="508"/>
      <c r="DT85" s="508"/>
      <c r="DU85" s="508"/>
      <c r="DV85" s="508"/>
      <c r="DW85" s="508"/>
      <c r="DX85" s="508"/>
      <c r="DY85" s="508"/>
      <c r="DZ85" s="508"/>
      <c r="EA85" s="508"/>
      <c r="EB85" s="508"/>
      <c r="EC85" s="508"/>
      <c r="ED85" s="508"/>
      <c r="EE85" s="508"/>
      <c r="EF85" s="508"/>
      <c r="EG85" s="508"/>
      <c r="EH85" s="508"/>
      <c r="EI85" s="508"/>
      <c r="EJ85" s="508"/>
      <c r="EK85" s="508"/>
      <c r="EL85" s="508"/>
      <c r="EM85" s="508"/>
      <c r="EN85" s="508"/>
      <c r="EO85" s="508"/>
      <c r="EP85" s="508"/>
      <c r="EQ85" s="508"/>
      <c r="ER85" s="508"/>
      <c r="ES85" s="508"/>
      <c r="ET85" s="508"/>
      <c r="EU85" s="508"/>
      <c r="EV85" s="508"/>
      <c r="EW85" s="508"/>
      <c r="EX85" s="508"/>
      <c r="EY85" s="508"/>
      <c r="EZ85" s="508"/>
      <c r="FA85" s="508"/>
      <c r="FB85" s="508"/>
      <c r="FC85" s="508"/>
      <c r="FD85" s="508"/>
      <c r="FE85" s="508"/>
      <c r="FF85" s="508"/>
      <c r="FG85" s="508"/>
      <c r="FH85" s="508"/>
      <c r="FI85" s="508"/>
      <c r="FJ85" s="508"/>
      <c r="FK85" s="508"/>
      <c r="FL85" s="508"/>
      <c r="FM85" s="508"/>
      <c r="FN85" s="508"/>
      <c r="FO85" s="508"/>
      <c r="FP85" s="508"/>
      <c r="FQ85" s="508"/>
      <c r="FR85" s="508"/>
      <c r="FS85" s="508"/>
      <c r="FT85" s="508"/>
      <c r="FU85" s="508"/>
      <c r="FV85" s="508"/>
      <c r="FW85" s="508"/>
      <c r="FX85" s="508"/>
      <c r="FY85" s="508"/>
      <c r="FZ85" s="508"/>
      <c r="GA85" s="508"/>
      <c r="GB85" s="508"/>
      <c r="GC85" s="508"/>
      <c r="GD85" s="508"/>
      <c r="GE85" s="508"/>
      <c r="GF85" s="508"/>
      <c r="GG85" s="508"/>
      <c r="GH85" s="508"/>
      <c r="GI85" s="508"/>
      <c r="GJ85" s="508"/>
      <c r="GK85" s="508"/>
      <c r="GL85" s="508"/>
      <c r="GM85" s="508"/>
      <c r="GN85" s="508"/>
      <c r="GO85" s="508"/>
      <c r="GP85" s="508"/>
      <c r="GQ85" s="508"/>
      <c r="GR85" s="508"/>
      <c r="GS85" s="508"/>
      <c r="GT85" s="508"/>
      <c r="GU85" s="508"/>
      <c r="GV85" s="508"/>
      <c r="GW85" s="508"/>
      <c r="GX85" s="508"/>
      <c r="GY85" s="508"/>
      <c r="GZ85" s="508"/>
      <c r="HA85" s="508"/>
      <c r="HB85" s="508"/>
      <c r="HC85" s="508"/>
      <c r="HD85" s="508"/>
      <c r="HE85" s="508"/>
      <c r="HF85" s="508"/>
      <c r="HG85" s="508"/>
      <c r="HH85" s="508"/>
      <c r="HI85" s="508"/>
      <c r="HJ85" s="508"/>
      <c r="HK85" s="508"/>
      <c r="HL85" s="508"/>
      <c r="HM85" s="508"/>
      <c r="HN85" s="508"/>
      <c r="HO85" s="508"/>
      <c r="HP85" s="508"/>
      <c r="HQ85" s="508"/>
      <c r="HR85" s="508"/>
      <c r="HS85" s="508"/>
      <c r="HT85" s="508"/>
      <c r="HU85" s="508"/>
      <c r="HV85" s="508"/>
      <c r="HW85" s="508"/>
      <c r="HX85" s="508"/>
      <c r="HY85" s="508"/>
      <c r="HZ85" s="508"/>
      <c r="IA85" s="508"/>
      <c r="IB85" s="508"/>
      <c r="IC85" s="508"/>
      <c r="ID85" s="508"/>
      <c r="IE85" s="508"/>
      <c r="IF85" s="508"/>
      <c r="IG85" s="508"/>
      <c r="IH85" s="508"/>
      <c r="II85" s="508"/>
      <c r="IJ85" s="508"/>
      <c r="IK85" s="508"/>
      <c r="IL85" s="508"/>
      <c r="IM85" s="508"/>
      <c r="IN85" s="508"/>
      <c r="IO85" s="508"/>
      <c r="IP85" s="508"/>
      <c r="IQ85" s="508"/>
      <c r="IR85" s="508"/>
      <c r="IS85" s="508"/>
      <c r="IT85" s="508"/>
      <c r="IU85" s="508"/>
      <c r="IV85" s="508"/>
    </row>
    <row r="86" spans="1:256" ht="67.5" customHeight="1">
      <c r="A86" s="530"/>
      <c r="B86" s="34"/>
      <c r="C86" s="34"/>
      <c r="D86" s="388" t="s">
        <v>195</v>
      </c>
      <c r="E86" s="34"/>
      <c r="F86" s="548"/>
      <c r="G86" s="532"/>
      <c r="H86" s="532"/>
      <c r="I86" s="672"/>
      <c r="J86" s="692"/>
      <c r="K86" s="509"/>
      <c r="L86" s="693"/>
      <c r="M86" s="693"/>
      <c r="N86" s="693"/>
      <c r="O86" s="509"/>
      <c r="P86" s="509"/>
      <c r="Q86" s="509"/>
      <c r="R86" s="670"/>
      <c r="S86" s="670"/>
      <c r="T86" s="671"/>
      <c r="U86" s="509"/>
      <c r="V86" s="509"/>
      <c r="W86" s="509"/>
      <c r="X86" s="509"/>
      <c r="Y86" s="509"/>
      <c r="Z86" s="509"/>
      <c r="AA86" s="509"/>
      <c r="AB86" s="509"/>
      <c r="AC86" s="509"/>
      <c r="AD86" s="509"/>
      <c r="AE86" s="509"/>
      <c r="AF86" s="509"/>
      <c r="AG86" s="509"/>
      <c r="AH86" s="509"/>
      <c r="AI86" s="509"/>
      <c r="AJ86" s="509"/>
      <c r="AK86" s="509"/>
      <c r="AL86" s="509"/>
      <c r="AM86" s="509"/>
      <c r="AN86" s="509"/>
      <c r="AO86" s="509"/>
      <c r="AP86" s="509"/>
      <c r="AQ86" s="509"/>
      <c r="AR86" s="509"/>
      <c r="AS86" s="508"/>
      <c r="AT86" s="508"/>
      <c r="AU86" s="508"/>
      <c r="AV86" s="508"/>
      <c r="AW86" s="508"/>
      <c r="AX86" s="508"/>
      <c r="AY86" s="508"/>
      <c r="AZ86" s="508"/>
      <c r="BA86" s="508"/>
      <c r="BB86" s="508"/>
      <c r="BC86" s="508"/>
      <c r="BD86" s="508"/>
      <c r="BE86" s="508"/>
      <c r="BF86" s="508"/>
      <c r="BG86" s="508"/>
      <c r="BH86" s="508"/>
      <c r="BI86" s="508"/>
      <c r="BJ86" s="508"/>
      <c r="BK86" s="508"/>
      <c r="BL86" s="508"/>
      <c r="BM86" s="508"/>
      <c r="BN86" s="508"/>
      <c r="BO86" s="508"/>
      <c r="BP86" s="508"/>
      <c r="BQ86" s="508"/>
      <c r="BR86" s="508"/>
      <c r="BS86" s="508"/>
      <c r="BT86" s="508"/>
      <c r="BU86" s="508"/>
      <c r="BV86" s="508"/>
      <c r="BW86" s="508"/>
      <c r="BX86" s="508"/>
      <c r="BY86" s="508"/>
      <c r="BZ86" s="508"/>
      <c r="CA86" s="508"/>
      <c r="CB86" s="508"/>
      <c r="CC86" s="508"/>
      <c r="CD86" s="508"/>
      <c r="CE86" s="508"/>
      <c r="CF86" s="508"/>
      <c r="CG86" s="508"/>
      <c r="CH86" s="508"/>
      <c r="CI86" s="508"/>
      <c r="CJ86" s="508"/>
      <c r="CK86" s="508"/>
      <c r="CL86" s="508"/>
      <c r="CM86" s="508"/>
      <c r="CN86" s="508"/>
      <c r="CO86" s="508"/>
      <c r="CP86" s="508"/>
      <c r="CQ86" s="508"/>
      <c r="CR86" s="508"/>
      <c r="CS86" s="508"/>
      <c r="CT86" s="508"/>
      <c r="CU86" s="508"/>
      <c r="CV86" s="508"/>
      <c r="CW86" s="508"/>
      <c r="CX86" s="508"/>
      <c r="CY86" s="508"/>
      <c r="CZ86" s="508"/>
      <c r="DA86" s="508"/>
      <c r="DB86" s="508"/>
      <c r="DC86" s="508"/>
      <c r="DD86" s="508"/>
      <c r="DE86" s="508"/>
      <c r="DF86" s="508"/>
      <c r="DG86" s="508"/>
      <c r="DH86" s="508"/>
      <c r="DI86" s="508"/>
      <c r="DJ86" s="508"/>
      <c r="DK86" s="508"/>
      <c r="DL86" s="508"/>
      <c r="DM86" s="508"/>
      <c r="DN86" s="508"/>
      <c r="DO86" s="508"/>
      <c r="DP86" s="508"/>
      <c r="DQ86" s="508"/>
      <c r="DR86" s="508"/>
      <c r="DS86" s="508"/>
      <c r="DT86" s="508"/>
      <c r="DU86" s="508"/>
      <c r="DV86" s="508"/>
      <c r="DW86" s="508"/>
      <c r="DX86" s="508"/>
      <c r="DY86" s="508"/>
      <c r="DZ86" s="508"/>
      <c r="EA86" s="508"/>
      <c r="EB86" s="508"/>
      <c r="EC86" s="508"/>
      <c r="ED86" s="508"/>
      <c r="EE86" s="508"/>
      <c r="EF86" s="508"/>
      <c r="EG86" s="508"/>
      <c r="EH86" s="508"/>
      <c r="EI86" s="508"/>
      <c r="EJ86" s="508"/>
      <c r="EK86" s="508"/>
      <c r="EL86" s="508"/>
      <c r="EM86" s="508"/>
      <c r="EN86" s="508"/>
      <c r="EO86" s="508"/>
      <c r="EP86" s="508"/>
      <c r="EQ86" s="508"/>
      <c r="ER86" s="508"/>
      <c r="ES86" s="508"/>
      <c r="ET86" s="508"/>
      <c r="EU86" s="508"/>
      <c r="EV86" s="508"/>
      <c r="EW86" s="508"/>
      <c r="EX86" s="508"/>
      <c r="EY86" s="508"/>
      <c r="EZ86" s="508"/>
      <c r="FA86" s="508"/>
      <c r="FB86" s="508"/>
      <c r="FC86" s="508"/>
      <c r="FD86" s="508"/>
      <c r="FE86" s="508"/>
      <c r="FF86" s="508"/>
      <c r="FG86" s="508"/>
      <c r="FH86" s="508"/>
      <c r="FI86" s="508"/>
      <c r="FJ86" s="508"/>
      <c r="FK86" s="508"/>
      <c r="FL86" s="508"/>
      <c r="FM86" s="508"/>
      <c r="FN86" s="508"/>
      <c r="FO86" s="508"/>
      <c r="FP86" s="508"/>
      <c r="FQ86" s="508"/>
      <c r="FR86" s="508"/>
      <c r="FS86" s="508"/>
      <c r="FT86" s="508"/>
      <c r="FU86" s="508"/>
      <c r="FV86" s="508"/>
      <c r="FW86" s="508"/>
      <c r="FX86" s="508"/>
      <c r="FY86" s="508"/>
      <c r="FZ86" s="508"/>
      <c r="GA86" s="508"/>
      <c r="GB86" s="508"/>
      <c r="GC86" s="508"/>
      <c r="GD86" s="508"/>
      <c r="GE86" s="508"/>
      <c r="GF86" s="508"/>
      <c r="GG86" s="508"/>
      <c r="GH86" s="508"/>
      <c r="GI86" s="508"/>
      <c r="GJ86" s="508"/>
      <c r="GK86" s="508"/>
      <c r="GL86" s="508"/>
      <c r="GM86" s="508"/>
      <c r="GN86" s="508"/>
      <c r="GO86" s="508"/>
      <c r="GP86" s="508"/>
      <c r="GQ86" s="508"/>
      <c r="GR86" s="508"/>
      <c r="GS86" s="508"/>
      <c r="GT86" s="508"/>
      <c r="GU86" s="508"/>
      <c r="GV86" s="508"/>
      <c r="GW86" s="508"/>
      <c r="GX86" s="508"/>
      <c r="GY86" s="508"/>
      <c r="GZ86" s="508"/>
      <c r="HA86" s="508"/>
      <c r="HB86" s="508"/>
      <c r="HC86" s="508"/>
      <c r="HD86" s="508"/>
      <c r="HE86" s="508"/>
      <c r="HF86" s="508"/>
      <c r="HG86" s="508"/>
      <c r="HH86" s="508"/>
      <c r="HI86" s="508"/>
      <c r="HJ86" s="508"/>
      <c r="HK86" s="508"/>
      <c r="HL86" s="508"/>
      <c r="HM86" s="508"/>
      <c r="HN86" s="508"/>
      <c r="HO86" s="508"/>
      <c r="HP86" s="508"/>
      <c r="HQ86" s="508"/>
      <c r="HR86" s="508"/>
      <c r="HS86" s="508"/>
      <c r="HT86" s="508"/>
      <c r="HU86" s="508"/>
      <c r="HV86" s="508"/>
      <c r="HW86" s="508"/>
      <c r="HX86" s="508"/>
      <c r="HY86" s="508"/>
      <c r="HZ86" s="508"/>
      <c r="IA86" s="508"/>
      <c r="IB86" s="508"/>
      <c r="IC86" s="508"/>
      <c r="ID86" s="508"/>
      <c r="IE86" s="508"/>
      <c r="IF86" s="508"/>
      <c r="IG86" s="508"/>
      <c r="IH86" s="508"/>
      <c r="II86" s="508"/>
      <c r="IJ86" s="508"/>
      <c r="IK86" s="508"/>
      <c r="IL86" s="508"/>
      <c r="IM86" s="508"/>
      <c r="IN86" s="508"/>
      <c r="IO86" s="508"/>
      <c r="IP86" s="508"/>
      <c r="IQ86" s="508"/>
      <c r="IR86" s="508"/>
      <c r="IS86" s="508"/>
      <c r="IT86" s="508"/>
      <c r="IU86" s="508"/>
      <c r="IV86" s="508"/>
    </row>
    <row r="87" spans="1:256" ht="13.5" customHeight="1">
      <c r="A87" s="530"/>
      <c r="B87" s="530"/>
      <c r="C87" s="694" t="s">
        <v>145</v>
      </c>
      <c r="D87" s="694" t="s">
        <v>146</v>
      </c>
      <c r="E87" s="694"/>
      <c r="F87" s="695"/>
      <c r="G87" s="696"/>
      <c r="H87" s="696">
        <f>SUM(H88:H91)</f>
        <v>0</v>
      </c>
      <c r="I87" s="697"/>
    </row>
    <row r="88" spans="1:256" s="314" customFormat="1" ht="13.5" customHeight="1">
      <c r="A88" s="352">
        <v>34</v>
      </c>
      <c r="B88" s="354">
        <v>231</v>
      </c>
      <c r="C88" s="354">
        <v>998231311</v>
      </c>
      <c r="D88" s="354" t="s">
        <v>147</v>
      </c>
      <c r="E88" s="354" t="s">
        <v>125</v>
      </c>
      <c r="F88" s="355">
        <f>(0.033+0.066)/1000+0.03</f>
        <v>3.0098999999999997E-2</v>
      </c>
      <c r="G88" s="503"/>
      <c r="H88" s="356">
        <f>F88*G88</f>
        <v>0</v>
      </c>
      <c r="I88" s="545" t="s">
        <v>738</v>
      </c>
      <c r="J88" s="698"/>
      <c r="K88" s="313"/>
      <c r="L88" s="313"/>
      <c r="M88" s="313"/>
      <c r="N88" s="313"/>
      <c r="O88" s="313"/>
      <c r="P88" s="313"/>
      <c r="Q88" s="313"/>
      <c r="R88" s="313"/>
      <c r="S88" s="313"/>
      <c r="T88" s="313"/>
      <c r="U88" s="313"/>
      <c r="V88" s="313"/>
      <c r="W88" s="313"/>
      <c r="X88" s="313"/>
      <c r="Y88" s="313"/>
      <c r="Z88" s="313"/>
      <c r="AA88" s="313"/>
      <c r="AB88" s="313"/>
      <c r="AC88" s="313"/>
      <c r="AD88" s="313"/>
      <c r="AE88" s="313"/>
      <c r="AF88" s="313"/>
      <c r="AG88" s="313"/>
      <c r="AH88" s="313"/>
      <c r="AI88" s="313"/>
      <c r="AJ88" s="313"/>
      <c r="AK88" s="313"/>
      <c r="AL88" s="313"/>
      <c r="AM88" s="313"/>
      <c r="AN88" s="313"/>
      <c r="AO88" s="313"/>
      <c r="AP88" s="313"/>
      <c r="AQ88" s="313"/>
      <c r="AR88" s="313"/>
    </row>
    <row r="89" spans="1:256" ht="13.5" customHeight="1">
      <c r="A89" s="699" t="s">
        <v>192</v>
      </c>
      <c r="B89" s="700" t="s">
        <v>263</v>
      </c>
      <c r="C89" s="34">
        <v>998276101</v>
      </c>
      <c r="D89" s="34" t="s">
        <v>185</v>
      </c>
      <c r="E89" s="34" t="s">
        <v>125</v>
      </c>
      <c r="F89" s="534">
        <f>0.27-F88</f>
        <v>0.23990100000000003</v>
      </c>
      <c r="G89" s="79"/>
      <c r="H89" s="532">
        <f>F89*G89</f>
        <v>0</v>
      </c>
      <c r="I89" s="545" t="s">
        <v>738</v>
      </c>
    </row>
    <row r="90" spans="1:256" ht="13.5" customHeight="1">
      <c r="A90" s="530">
        <v>36</v>
      </c>
      <c r="B90" s="34" t="s">
        <v>148</v>
      </c>
      <c r="C90" s="34" t="s">
        <v>149</v>
      </c>
      <c r="D90" s="34" t="s">
        <v>150</v>
      </c>
      <c r="E90" s="34" t="s">
        <v>151</v>
      </c>
      <c r="F90" s="534">
        <f>F91</f>
        <v>10</v>
      </c>
      <c r="G90" s="79"/>
      <c r="H90" s="532">
        <f>F90*G90</f>
        <v>0</v>
      </c>
      <c r="I90" s="545" t="s">
        <v>738</v>
      </c>
      <c r="J90" s="552"/>
    </row>
    <row r="91" spans="1:256" ht="27" customHeight="1">
      <c r="A91" s="530"/>
      <c r="B91" s="34"/>
      <c r="C91" s="674"/>
      <c r="D91" s="36" t="s">
        <v>165</v>
      </c>
      <c r="E91" s="674"/>
      <c r="F91" s="675">
        <v>10</v>
      </c>
      <c r="G91" s="676"/>
      <c r="H91" s="676"/>
      <c r="I91" s="677"/>
    </row>
    <row r="92" spans="1:256" ht="13.5" customHeight="1">
      <c r="A92" s="701"/>
      <c r="B92" s="702"/>
      <c r="C92" s="702"/>
      <c r="D92" s="702" t="s">
        <v>18</v>
      </c>
      <c r="E92" s="702"/>
      <c r="F92" s="703"/>
      <c r="G92" s="704"/>
      <c r="H92" s="704">
        <f>H9</f>
        <v>0</v>
      </c>
      <c r="I92" s="508"/>
    </row>
    <row r="93" spans="1:256" ht="13.5" customHeight="1">
      <c r="A93" s="705"/>
      <c r="B93" s="705"/>
      <c r="C93" s="706"/>
      <c r="D93" s="706"/>
      <c r="E93" s="707"/>
      <c r="F93" s="708"/>
      <c r="G93" s="709"/>
      <c r="H93" s="709"/>
      <c r="I93" s="710"/>
    </row>
    <row r="94" spans="1:256" ht="13.5" customHeight="1">
      <c r="A94" s="711" t="s">
        <v>88</v>
      </c>
      <c r="B94" s="712"/>
      <c r="C94" s="713"/>
      <c r="D94" s="714" t="s">
        <v>546</v>
      </c>
      <c r="E94" s="715"/>
      <c r="F94" s="716"/>
      <c r="G94" s="717"/>
      <c r="H94" s="718">
        <f>H92</f>
        <v>0</v>
      </c>
      <c r="I94" s="719"/>
    </row>
    <row r="95" spans="1:256" ht="13.5" customHeight="1">
      <c r="A95" s="720"/>
      <c r="B95" s="721"/>
      <c r="C95" s="721"/>
      <c r="D95" s="722"/>
      <c r="E95" s="723"/>
      <c r="F95" s="724"/>
      <c r="G95" s="725"/>
      <c r="H95" s="726"/>
      <c r="I95" s="508"/>
    </row>
    <row r="96" spans="1:256" s="307" customFormat="1" ht="11.25">
      <c r="A96" s="307" t="s">
        <v>22</v>
      </c>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row>
    <row r="97" spans="1:44" s="307" customFormat="1" ht="23.45" customHeight="1">
      <c r="A97" s="727" t="s">
        <v>89</v>
      </c>
      <c r="B97" s="728"/>
      <c r="C97" s="728"/>
      <c r="D97" s="728"/>
      <c r="E97" s="728"/>
      <c r="F97" s="728"/>
      <c r="G97" s="728"/>
      <c r="J97" s="69"/>
      <c r="K97" s="69"/>
      <c r="L97" s="69"/>
      <c r="M97" s="69"/>
      <c r="N97" s="69"/>
      <c r="O97" s="69"/>
      <c r="P97" s="69"/>
      <c r="Q97" s="69"/>
      <c r="R97" s="69"/>
      <c r="S97" s="69"/>
      <c r="T97" s="69"/>
      <c r="U97" s="69"/>
      <c r="V97" s="69"/>
      <c r="W97" s="69"/>
      <c r="X97" s="69"/>
      <c r="Y97" s="69"/>
      <c r="Z97" s="69"/>
      <c r="AA97" s="69"/>
      <c r="AB97" s="69"/>
      <c r="AC97" s="69"/>
      <c r="AD97" s="69"/>
      <c r="AE97" s="69"/>
      <c r="AF97" s="69"/>
      <c r="AG97" s="69"/>
      <c r="AH97" s="69"/>
      <c r="AI97" s="69"/>
      <c r="AJ97" s="69"/>
      <c r="AK97" s="69"/>
      <c r="AL97" s="69"/>
      <c r="AM97" s="69"/>
      <c r="AN97" s="69"/>
      <c r="AO97" s="69"/>
      <c r="AP97" s="69"/>
      <c r="AQ97" s="69"/>
      <c r="AR97" s="69"/>
    </row>
    <row r="98" spans="1:44" s="307" customFormat="1" ht="93.75" customHeight="1">
      <c r="A98" s="727" t="s">
        <v>68</v>
      </c>
      <c r="B98" s="729"/>
      <c r="C98" s="729"/>
      <c r="D98" s="729"/>
      <c r="E98" s="729"/>
      <c r="F98" s="729"/>
      <c r="G98" s="729"/>
      <c r="J98" s="69"/>
      <c r="K98" s="69"/>
      <c r="L98" s="69"/>
      <c r="M98" s="69"/>
      <c r="N98" s="69"/>
      <c r="O98" s="69"/>
      <c r="P98" s="69"/>
      <c r="Q98" s="69"/>
      <c r="R98" s="69"/>
      <c r="S98" s="69"/>
      <c r="T98" s="69"/>
      <c r="U98" s="69"/>
      <c r="V98" s="69"/>
      <c r="W98" s="69"/>
      <c r="X98" s="69"/>
      <c r="Y98" s="69"/>
      <c r="Z98" s="69"/>
      <c r="AA98" s="69"/>
      <c r="AB98" s="69"/>
      <c r="AC98" s="69"/>
      <c r="AD98" s="69"/>
      <c r="AE98" s="69"/>
      <c r="AF98" s="69"/>
      <c r="AG98" s="69"/>
      <c r="AH98" s="69"/>
      <c r="AI98" s="69"/>
      <c r="AJ98" s="69"/>
      <c r="AK98" s="69"/>
      <c r="AL98" s="69"/>
      <c r="AM98" s="69"/>
      <c r="AN98" s="69"/>
      <c r="AO98" s="69"/>
      <c r="AP98" s="69"/>
      <c r="AQ98" s="69"/>
      <c r="AR98" s="69"/>
    </row>
    <row r="99" spans="1:44" s="496" customFormat="1" ht="13.5" customHeight="1">
      <c r="A99" s="727" t="s">
        <v>69</v>
      </c>
      <c r="B99" s="728"/>
      <c r="C99" s="728"/>
      <c r="D99" s="728"/>
      <c r="E99" s="728"/>
      <c r="F99" s="728"/>
      <c r="G99" s="728"/>
      <c r="H99" s="730"/>
      <c r="I99" s="730"/>
      <c r="J99" s="495"/>
      <c r="K99" s="495"/>
      <c r="L99" s="495"/>
      <c r="M99" s="495"/>
      <c r="N99" s="495"/>
      <c r="O99" s="495"/>
      <c r="P99" s="495"/>
      <c r="Q99" s="495"/>
      <c r="R99" s="495"/>
      <c r="S99" s="495"/>
      <c r="T99" s="495"/>
      <c r="U99" s="495"/>
      <c r="V99" s="495"/>
      <c r="W99" s="495"/>
      <c r="X99" s="495"/>
      <c r="Y99" s="495"/>
      <c r="Z99" s="495"/>
      <c r="AA99" s="495"/>
      <c r="AB99" s="495"/>
      <c r="AC99" s="495"/>
      <c r="AD99" s="495"/>
      <c r="AE99" s="495"/>
      <c r="AF99" s="495"/>
      <c r="AG99" s="495"/>
      <c r="AH99" s="495"/>
      <c r="AI99" s="495"/>
      <c r="AJ99" s="495"/>
      <c r="AK99" s="495"/>
      <c r="AL99" s="495"/>
      <c r="AM99" s="495"/>
      <c r="AN99" s="495"/>
      <c r="AO99" s="495"/>
      <c r="AP99" s="495"/>
      <c r="AQ99" s="495"/>
      <c r="AR99" s="495"/>
    </row>
    <row r="100" spans="1:44" s="496" customFormat="1" ht="13.5" customHeight="1">
      <c r="A100" s="727" t="s">
        <v>70</v>
      </c>
      <c r="B100" s="728"/>
      <c r="C100" s="728"/>
      <c r="D100" s="728"/>
      <c r="E100" s="728"/>
      <c r="F100" s="728"/>
      <c r="G100" s="728"/>
      <c r="H100" s="730"/>
      <c r="I100" s="730"/>
      <c r="J100" s="495"/>
      <c r="K100" s="495"/>
      <c r="L100" s="495"/>
      <c r="M100" s="495"/>
      <c r="N100" s="495"/>
      <c r="O100" s="495"/>
      <c r="P100" s="495"/>
      <c r="Q100" s="495"/>
      <c r="R100" s="495"/>
      <c r="S100" s="495"/>
      <c r="T100" s="495"/>
      <c r="U100" s="495"/>
      <c r="V100" s="495"/>
      <c r="W100" s="495"/>
      <c r="X100" s="495"/>
      <c r="Y100" s="495"/>
      <c r="Z100" s="495"/>
      <c r="AA100" s="495"/>
      <c r="AB100" s="495"/>
      <c r="AC100" s="495"/>
      <c r="AD100" s="495"/>
      <c r="AE100" s="495"/>
      <c r="AF100" s="495"/>
      <c r="AG100" s="495"/>
      <c r="AH100" s="495"/>
      <c r="AI100" s="495"/>
      <c r="AJ100" s="495"/>
      <c r="AK100" s="495"/>
      <c r="AL100" s="495"/>
      <c r="AM100" s="495"/>
      <c r="AN100" s="495"/>
      <c r="AO100" s="495"/>
      <c r="AP100" s="495"/>
      <c r="AQ100" s="495"/>
      <c r="AR100" s="495"/>
    </row>
    <row r="101" spans="1:44" s="307" customFormat="1" ht="47.25" customHeight="1">
      <c r="A101" s="497" t="s">
        <v>727</v>
      </c>
      <c r="B101" s="497"/>
      <c r="C101" s="497"/>
      <c r="D101" s="497"/>
      <c r="E101" s="497"/>
      <c r="F101" s="497"/>
      <c r="G101" s="497"/>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69"/>
      <c r="AL101" s="69"/>
      <c r="AM101" s="69"/>
      <c r="AN101" s="69"/>
      <c r="AO101" s="69"/>
      <c r="AP101" s="69"/>
      <c r="AQ101" s="69"/>
      <c r="AR101" s="69"/>
    </row>
    <row r="102" spans="1:44" s="307" customFormat="1" ht="23.45" customHeight="1">
      <c r="A102" s="727"/>
      <c r="B102" s="728"/>
      <c r="C102" s="728"/>
      <c r="D102" s="728"/>
      <c r="E102" s="728"/>
      <c r="F102" s="728"/>
      <c r="G102" s="728"/>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69"/>
    </row>
    <row r="103" spans="1:44" ht="13.5" customHeight="1"/>
    <row r="104" spans="1:44" ht="13.5" customHeight="1"/>
    <row r="105" spans="1:44" ht="13.5" customHeight="1"/>
    <row r="106" spans="1:44" ht="13.5" customHeight="1"/>
    <row r="107" spans="1:44" ht="13.5" customHeight="1"/>
    <row r="108" spans="1:44" ht="13.5" customHeight="1"/>
    <row r="109" spans="1:44" ht="36.75" customHeight="1"/>
    <row r="110" spans="1:44" ht="36.75" customHeight="1"/>
    <row r="111" spans="1:44" ht="13.5" customHeight="1"/>
    <row r="112" spans="1:44" ht="25.5" customHeight="1"/>
    <row r="113" ht="36.75" customHeight="1"/>
    <row r="114" ht="13.5" customHeight="1"/>
    <row r="115" ht="25.5" customHeight="1"/>
    <row r="116" ht="36.75" customHeight="1"/>
    <row r="117" ht="13.5" customHeight="1"/>
    <row r="118" ht="25.5" customHeight="1"/>
    <row r="119" ht="36.75" customHeight="1"/>
    <row r="120" ht="13.5" customHeight="1"/>
    <row r="121" ht="25.5" customHeight="1"/>
    <row r="122" ht="36.7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40.5" customHeight="1"/>
    <row r="136" ht="13.5" customHeight="1"/>
    <row r="137" ht="13.5" customHeight="1"/>
    <row r="138" ht="13.5" customHeight="1"/>
    <row r="139" ht="13.5" customHeight="1"/>
    <row r="140" ht="27" customHeight="1"/>
    <row r="141" ht="42.75" customHeight="1"/>
    <row r="142" ht="13.5" customHeight="1"/>
    <row r="143" ht="13.5" customHeight="1"/>
    <row r="144" ht="13.5" customHeight="1"/>
    <row r="145" ht="13.5" customHeight="1"/>
    <row r="146" ht="13.5" customHeight="1"/>
    <row r="147" ht="40.5" customHeight="1"/>
    <row r="148" ht="13.5" customHeight="1"/>
    <row r="149" ht="13.5" customHeight="1"/>
    <row r="150" ht="13.5" customHeight="1"/>
    <row r="151" ht="13.5" customHeight="1"/>
    <row r="152" ht="13.5" customHeight="1"/>
    <row r="153" ht="27" customHeight="1"/>
    <row r="154" ht="13.5" customHeight="1"/>
    <row r="155" ht="13.5" customHeight="1"/>
    <row r="156" ht="27" customHeight="1"/>
    <row r="157" ht="21" customHeight="1"/>
    <row r="159" ht="13.5" customHeight="1"/>
    <row r="160" ht="13.5" customHeight="1"/>
    <row r="161" ht="13.5" customHeight="1"/>
    <row r="162" ht="27" customHeight="1"/>
    <row r="163" ht="93.75" customHeight="1"/>
    <row r="164" ht="13.5" customHeight="1"/>
    <row r="165" ht="13.5" customHeight="1"/>
  </sheetData>
  <sheetProtection algorithmName="SHA-512" hashValue="ZeEb2ZnZ5EA5PXYhpur1wQjxfrZkW8cPMNW+MbTkNuDL3r+PpLIrXWHsCL6g5IXFd50XwPqKyJW8xhedRoqV+g==" saltValue="1FvNLoTYw093W0ex3pXSJg==" spinCount="100000" sheet="1" objects="1" scenarios="1"/>
  <mergeCells count="9">
    <mergeCell ref="A100:G100"/>
    <mergeCell ref="A101:G101"/>
    <mergeCell ref="A102:G102"/>
    <mergeCell ref="A2:D2"/>
    <mergeCell ref="A3:D3"/>
    <mergeCell ref="A94:C94"/>
    <mergeCell ref="A97:G97"/>
    <mergeCell ref="A98:G98"/>
    <mergeCell ref="A99:G99"/>
  </mergeCells>
  <printOptions horizontalCentered="1"/>
  <pageMargins left="0.39370078740157483" right="0.39370078740157483" top="0.59055118110236227" bottom="0.19685039370078741" header="0" footer="0"/>
  <pageSetup paperSize="9" scale="63" fitToHeight="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5550C-B330-43F2-8805-4B4833145EE1}">
  <sheetPr>
    <pageSetUpPr fitToPage="1"/>
  </sheetPr>
  <dimension ref="A1:IV216"/>
  <sheetViews>
    <sheetView workbookViewId="0"/>
  </sheetViews>
  <sheetFormatPr defaultRowHeight="12.75"/>
  <cols>
    <col min="1" max="1" width="4.140625" style="506" customWidth="1"/>
    <col min="2" max="2" width="4.28515625" style="506" customWidth="1"/>
    <col min="3" max="3" width="14.42578125" style="506" customWidth="1"/>
    <col min="4" max="4" width="65" style="506" customWidth="1"/>
    <col min="5" max="5" width="6.7109375" style="506" customWidth="1"/>
    <col min="6" max="6" width="10.140625" style="506" customWidth="1"/>
    <col min="7" max="7" width="11.7109375" style="506" customWidth="1"/>
    <col min="8" max="8" width="15.7109375" style="506" customWidth="1"/>
    <col min="9" max="9" width="17.28515625" style="506" customWidth="1"/>
    <col min="10" max="10" width="14.7109375" style="505" customWidth="1"/>
    <col min="11" max="41" width="9.140625" style="505"/>
    <col min="42" max="256" width="9.140625" style="506"/>
    <col min="257" max="257" width="4.140625" style="506" customWidth="1"/>
    <col min="258" max="258" width="4.28515625" style="506" customWidth="1"/>
    <col min="259" max="259" width="14.42578125" style="506" customWidth="1"/>
    <col min="260" max="260" width="65" style="506" customWidth="1"/>
    <col min="261" max="261" width="6.7109375" style="506" customWidth="1"/>
    <col min="262" max="262" width="10.140625" style="506" customWidth="1"/>
    <col min="263" max="263" width="11.7109375" style="506" customWidth="1"/>
    <col min="264" max="264" width="15.7109375" style="506" customWidth="1"/>
    <col min="265" max="265" width="17.28515625" style="506" customWidth="1"/>
    <col min="266" max="266" width="12.140625" style="506" customWidth="1"/>
    <col min="267" max="512" width="9.140625" style="506"/>
    <col min="513" max="513" width="4.140625" style="506" customWidth="1"/>
    <col min="514" max="514" width="4.28515625" style="506" customWidth="1"/>
    <col min="515" max="515" width="14.42578125" style="506" customWidth="1"/>
    <col min="516" max="516" width="65" style="506" customWidth="1"/>
    <col min="517" max="517" width="6.7109375" style="506" customWidth="1"/>
    <col min="518" max="518" width="10.140625" style="506" customWidth="1"/>
    <col min="519" max="519" width="11.7109375" style="506" customWidth="1"/>
    <col min="520" max="520" width="15.7109375" style="506" customWidth="1"/>
    <col min="521" max="521" width="17.28515625" style="506" customWidth="1"/>
    <col min="522" max="522" width="12.140625" style="506" customWidth="1"/>
    <col min="523" max="768" width="9.140625" style="506"/>
    <col min="769" max="769" width="4.140625" style="506" customWidth="1"/>
    <col min="770" max="770" width="4.28515625" style="506" customWidth="1"/>
    <col min="771" max="771" width="14.42578125" style="506" customWidth="1"/>
    <col min="772" max="772" width="65" style="506" customWidth="1"/>
    <col min="773" max="773" width="6.7109375" style="506" customWidth="1"/>
    <col min="774" max="774" width="10.140625" style="506" customWidth="1"/>
    <col min="775" max="775" width="11.7109375" style="506" customWidth="1"/>
    <col min="776" max="776" width="15.7109375" style="506" customWidth="1"/>
    <col min="777" max="777" width="17.28515625" style="506" customWidth="1"/>
    <col min="778" max="778" width="12.140625" style="506" customWidth="1"/>
    <col min="779" max="1024" width="9.140625" style="506"/>
    <col min="1025" max="1025" width="4.140625" style="506" customWidth="1"/>
    <col min="1026" max="1026" width="4.28515625" style="506" customWidth="1"/>
    <col min="1027" max="1027" width="14.42578125" style="506" customWidth="1"/>
    <col min="1028" max="1028" width="65" style="506" customWidth="1"/>
    <col min="1029" max="1029" width="6.7109375" style="506" customWidth="1"/>
    <col min="1030" max="1030" width="10.140625" style="506" customWidth="1"/>
    <col min="1031" max="1031" width="11.7109375" style="506" customWidth="1"/>
    <col min="1032" max="1032" width="15.7109375" style="506" customWidth="1"/>
    <col min="1033" max="1033" width="17.28515625" style="506" customWidth="1"/>
    <col min="1034" max="1034" width="12.140625" style="506" customWidth="1"/>
    <col min="1035" max="1280" width="9.140625" style="506"/>
    <col min="1281" max="1281" width="4.140625" style="506" customWidth="1"/>
    <col min="1282" max="1282" width="4.28515625" style="506" customWidth="1"/>
    <col min="1283" max="1283" width="14.42578125" style="506" customWidth="1"/>
    <col min="1284" max="1284" width="65" style="506" customWidth="1"/>
    <col min="1285" max="1285" width="6.7109375" style="506" customWidth="1"/>
    <col min="1286" max="1286" width="10.140625" style="506" customWidth="1"/>
    <col min="1287" max="1287" width="11.7109375" style="506" customWidth="1"/>
    <col min="1288" max="1288" width="15.7109375" style="506" customWidth="1"/>
    <col min="1289" max="1289" width="17.28515625" style="506" customWidth="1"/>
    <col min="1290" max="1290" width="12.140625" style="506" customWidth="1"/>
    <col min="1291" max="1536" width="9.140625" style="506"/>
    <col min="1537" max="1537" width="4.140625" style="506" customWidth="1"/>
    <col min="1538" max="1538" width="4.28515625" style="506" customWidth="1"/>
    <col min="1539" max="1539" width="14.42578125" style="506" customWidth="1"/>
    <col min="1540" max="1540" width="65" style="506" customWidth="1"/>
    <col min="1541" max="1541" width="6.7109375" style="506" customWidth="1"/>
    <col min="1542" max="1542" width="10.140625" style="506" customWidth="1"/>
    <col min="1543" max="1543" width="11.7109375" style="506" customWidth="1"/>
    <col min="1544" max="1544" width="15.7109375" style="506" customWidth="1"/>
    <col min="1545" max="1545" width="17.28515625" style="506" customWidth="1"/>
    <col min="1546" max="1546" width="12.140625" style="506" customWidth="1"/>
    <col min="1547" max="1792" width="9.140625" style="506"/>
    <col min="1793" max="1793" width="4.140625" style="506" customWidth="1"/>
    <col min="1794" max="1794" width="4.28515625" style="506" customWidth="1"/>
    <col min="1795" max="1795" width="14.42578125" style="506" customWidth="1"/>
    <col min="1796" max="1796" width="65" style="506" customWidth="1"/>
    <col min="1797" max="1797" width="6.7109375" style="506" customWidth="1"/>
    <col min="1798" max="1798" width="10.140625" style="506" customWidth="1"/>
    <col min="1799" max="1799" width="11.7109375" style="506" customWidth="1"/>
    <col min="1800" max="1800" width="15.7109375" style="506" customWidth="1"/>
    <col min="1801" max="1801" width="17.28515625" style="506" customWidth="1"/>
    <col min="1802" max="1802" width="12.140625" style="506" customWidth="1"/>
    <col min="1803" max="2048" width="9.140625" style="506"/>
    <col min="2049" max="2049" width="4.140625" style="506" customWidth="1"/>
    <col min="2050" max="2050" width="4.28515625" style="506" customWidth="1"/>
    <col min="2051" max="2051" width="14.42578125" style="506" customWidth="1"/>
    <col min="2052" max="2052" width="65" style="506" customWidth="1"/>
    <col min="2053" max="2053" width="6.7109375" style="506" customWidth="1"/>
    <col min="2054" max="2054" width="10.140625" style="506" customWidth="1"/>
    <col min="2055" max="2055" width="11.7109375" style="506" customWidth="1"/>
    <col min="2056" max="2056" width="15.7109375" style="506" customWidth="1"/>
    <col min="2057" max="2057" width="17.28515625" style="506" customWidth="1"/>
    <col min="2058" max="2058" width="12.140625" style="506" customWidth="1"/>
    <col min="2059" max="2304" width="9.140625" style="506"/>
    <col min="2305" max="2305" width="4.140625" style="506" customWidth="1"/>
    <col min="2306" max="2306" width="4.28515625" style="506" customWidth="1"/>
    <col min="2307" max="2307" width="14.42578125" style="506" customWidth="1"/>
    <col min="2308" max="2308" width="65" style="506" customWidth="1"/>
    <col min="2309" max="2309" width="6.7109375" style="506" customWidth="1"/>
    <col min="2310" max="2310" width="10.140625" style="506" customWidth="1"/>
    <col min="2311" max="2311" width="11.7109375" style="506" customWidth="1"/>
    <col min="2312" max="2312" width="15.7109375" style="506" customWidth="1"/>
    <col min="2313" max="2313" width="17.28515625" style="506" customWidth="1"/>
    <col min="2314" max="2314" width="12.140625" style="506" customWidth="1"/>
    <col min="2315" max="2560" width="9.140625" style="506"/>
    <col min="2561" max="2561" width="4.140625" style="506" customWidth="1"/>
    <col min="2562" max="2562" width="4.28515625" style="506" customWidth="1"/>
    <col min="2563" max="2563" width="14.42578125" style="506" customWidth="1"/>
    <col min="2564" max="2564" width="65" style="506" customWidth="1"/>
    <col min="2565" max="2565" width="6.7109375" style="506" customWidth="1"/>
    <col min="2566" max="2566" width="10.140625" style="506" customWidth="1"/>
    <col min="2567" max="2567" width="11.7109375" style="506" customWidth="1"/>
    <col min="2568" max="2568" width="15.7109375" style="506" customWidth="1"/>
    <col min="2569" max="2569" width="17.28515625" style="506" customWidth="1"/>
    <col min="2570" max="2570" width="12.140625" style="506" customWidth="1"/>
    <col min="2571" max="2816" width="9.140625" style="506"/>
    <col min="2817" max="2817" width="4.140625" style="506" customWidth="1"/>
    <col min="2818" max="2818" width="4.28515625" style="506" customWidth="1"/>
    <col min="2819" max="2819" width="14.42578125" style="506" customWidth="1"/>
    <col min="2820" max="2820" width="65" style="506" customWidth="1"/>
    <col min="2821" max="2821" width="6.7109375" style="506" customWidth="1"/>
    <col min="2822" max="2822" width="10.140625" style="506" customWidth="1"/>
    <col min="2823" max="2823" width="11.7109375" style="506" customWidth="1"/>
    <col min="2824" max="2824" width="15.7109375" style="506" customWidth="1"/>
    <col min="2825" max="2825" width="17.28515625" style="506" customWidth="1"/>
    <col min="2826" max="2826" width="12.140625" style="506" customWidth="1"/>
    <col min="2827" max="3072" width="9.140625" style="506"/>
    <col min="3073" max="3073" width="4.140625" style="506" customWidth="1"/>
    <col min="3074" max="3074" width="4.28515625" style="506" customWidth="1"/>
    <col min="3075" max="3075" width="14.42578125" style="506" customWidth="1"/>
    <col min="3076" max="3076" width="65" style="506" customWidth="1"/>
    <col min="3077" max="3077" width="6.7109375" style="506" customWidth="1"/>
    <col min="3078" max="3078" width="10.140625" style="506" customWidth="1"/>
    <col min="3079" max="3079" width="11.7109375" style="506" customWidth="1"/>
    <col min="3080" max="3080" width="15.7109375" style="506" customWidth="1"/>
    <col min="3081" max="3081" width="17.28515625" style="506" customWidth="1"/>
    <col min="3082" max="3082" width="12.140625" style="506" customWidth="1"/>
    <col min="3083" max="3328" width="9.140625" style="506"/>
    <col min="3329" max="3329" width="4.140625" style="506" customWidth="1"/>
    <col min="3330" max="3330" width="4.28515625" style="506" customWidth="1"/>
    <col min="3331" max="3331" width="14.42578125" style="506" customWidth="1"/>
    <col min="3332" max="3332" width="65" style="506" customWidth="1"/>
    <col min="3333" max="3333" width="6.7109375" style="506" customWidth="1"/>
    <col min="3334" max="3334" width="10.140625" style="506" customWidth="1"/>
    <col min="3335" max="3335" width="11.7109375" style="506" customWidth="1"/>
    <col min="3336" max="3336" width="15.7109375" style="506" customWidth="1"/>
    <col min="3337" max="3337" width="17.28515625" style="506" customWidth="1"/>
    <col min="3338" max="3338" width="12.140625" style="506" customWidth="1"/>
    <col min="3339" max="3584" width="9.140625" style="506"/>
    <col min="3585" max="3585" width="4.140625" style="506" customWidth="1"/>
    <col min="3586" max="3586" width="4.28515625" style="506" customWidth="1"/>
    <col min="3587" max="3587" width="14.42578125" style="506" customWidth="1"/>
    <col min="3588" max="3588" width="65" style="506" customWidth="1"/>
    <col min="3589" max="3589" width="6.7109375" style="506" customWidth="1"/>
    <col min="3590" max="3590" width="10.140625" style="506" customWidth="1"/>
    <col min="3591" max="3591" width="11.7109375" style="506" customWidth="1"/>
    <col min="3592" max="3592" width="15.7109375" style="506" customWidth="1"/>
    <col min="3593" max="3593" width="17.28515625" style="506" customWidth="1"/>
    <col min="3594" max="3594" width="12.140625" style="506" customWidth="1"/>
    <col min="3595" max="3840" width="9.140625" style="506"/>
    <col min="3841" max="3841" width="4.140625" style="506" customWidth="1"/>
    <col min="3842" max="3842" width="4.28515625" style="506" customWidth="1"/>
    <col min="3843" max="3843" width="14.42578125" style="506" customWidth="1"/>
    <col min="3844" max="3844" width="65" style="506" customWidth="1"/>
    <col min="3845" max="3845" width="6.7109375" style="506" customWidth="1"/>
    <col min="3846" max="3846" width="10.140625" style="506" customWidth="1"/>
    <col min="3847" max="3847" width="11.7109375" style="506" customWidth="1"/>
    <col min="3848" max="3848" width="15.7109375" style="506" customWidth="1"/>
    <col min="3849" max="3849" width="17.28515625" style="506" customWidth="1"/>
    <col min="3850" max="3850" width="12.140625" style="506" customWidth="1"/>
    <col min="3851" max="4096" width="9.140625" style="506"/>
    <col min="4097" max="4097" width="4.140625" style="506" customWidth="1"/>
    <col min="4098" max="4098" width="4.28515625" style="506" customWidth="1"/>
    <col min="4099" max="4099" width="14.42578125" style="506" customWidth="1"/>
    <col min="4100" max="4100" width="65" style="506" customWidth="1"/>
    <col min="4101" max="4101" width="6.7109375" style="506" customWidth="1"/>
    <col min="4102" max="4102" width="10.140625" style="506" customWidth="1"/>
    <col min="4103" max="4103" width="11.7109375" style="506" customWidth="1"/>
    <col min="4104" max="4104" width="15.7109375" style="506" customWidth="1"/>
    <col min="4105" max="4105" width="17.28515625" style="506" customWidth="1"/>
    <col min="4106" max="4106" width="12.140625" style="506" customWidth="1"/>
    <col min="4107" max="4352" width="9.140625" style="506"/>
    <col min="4353" max="4353" width="4.140625" style="506" customWidth="1"/>
    <col min="4354" max="4354" width="4.28515625" style="506" customWidth="1"/>
    <col min="4355" max="4355" width="14.42578125" style="506" customWidth="1"/>
    <col min="4356" max="4356" width="65" style="506" customWidth="1"/>
    <col min="4357" max="4357" width="6.7109375" style="506" customWidth="1"/>
    <col min="4358" max="4358" width="10.140625" style="506" customWidth="1"/>
    <col min="4359" max="4359" width="11.7109375" style="506" customWidth="1"/>
    <col min="4360" max="4360" width="15.7109375" style="506" customWidth="1"/>
    <col min="4361" max="4361" width="17.28515625" style="506" customWidth="1"/>
    <col min="4362" max="4362" width="12.140625" style="506" customWidth="1"/>
    <col min="4363" max="4608" width="9.140625" style="506"/>
    <col min="4609" max="4609" width="4.140625" style="506" customWidth="1"/>
    <col min="4610" max="4610" width="4.28515625" style="506" customWidth="1"/>
    <col min="4611" max="4611" width="14.42578125" style="506" customWidth="1"/>
    <col min="4612" max="4612" width="65" style="506" customWidth="1"/>
    <col min="4613" max="4613" width="6.7109375" style="506" customWidth="1"/>
    <col min="4614" max="4614" width="10.140625" style="506" customWidth="1"/>
    <col min="4615" max="4615" width="11.7109375" style="506" customWidth="1"/>
    <col min="4616" max="4616" width="15.7109375" style="506" customWidth="1"/>
    <col min="4617" max="4617" width="17.28515625" style="506" customWidth="1"/>
    <col min="4618" max="4618" width="12.140625" style="506" customWidth="1"/>
    <col min="4619" max="4864" width="9.140625" style="506"/>
    <col min="4865" max="4865" width="4.140625" style="506" customWidth="1"/>
    <col min="4866" max="4866" width="4.28515625" style="506" customWidth="1"/>
    <col min="4867" max="4867" width="14.42578125" style="506" customWidth="1"/>
    <col min="4868" max="4868" width="65" style="506" customWidth="1"/>
    <col min="4869" max="4869" width="6.7109375" style="506" customWidth="1"/>
    <col min="4870" max="4870" width="10.140625" style="506" customWidth="1"/>
    <col min="4871" max="4871" width="11.7109375" style="506" customWidth="1"/>
    <col min="4872" max="4872" width="15.7109375" style="506" customWidth="1"/>
    <col min="4873" max="4873" width="17.28515625" style="506" customWidth="1"/>
    <col min="4874" max="4874" width="12.140625" style="506" customWidth="1"/>
    <col min="4875" max="5120" width="9.140625" style="506"/>
    <col min="5121" max="5121" width="4.140625" style="506" customWidth="1"/>
    <col min="5122" max="5122" width="4.28515625" style="506" customWidth="1"/>
    <col min="5123" max="5123" width="14.42578125" style="506" customWidth="1"/>
    <col min="5124" max="5124" width="65" style="506" customWidth="1"/>
    <col min="5125" max="5125" width="6.7109375" style="506" customWidth="1"/>
    <col min="5126" max="5126" width="10.140625" style="506" customWidth="1"/>
    <col min="5127" max="5127" width="11.7109375" style="506" customWidth="1"/>
    <col min="5128" max="5128" width="15.7109375" style="506" customWidth="1"/>
    <col min="5129" max="5129" width="17.28515625" style="506" customWidth="1"/>
    <col min="5130" max="5130" width="12.140625" style="506" customWidth="1"/>
    <col min="5131" max="5376" width="9.140625" style="506"/>
    <col min="5377" max="5377" width="4.140625" style="506" customWidth="1"/>
    <col min="5378" max="5378" width="4.28515625" style="506" customWidth="1"/>
    <col min="5379" max="5379" width="14.42578125" style="506" customWidth="1"/>
    <col min="5380" max="5380" width="65" style="506" customWidth="1"/>
    <col min="5381" max="5381" width="6.7109375" style="506" customWidth="1"/>
    <col min="5382" max="5382" width="10.140625" style="506" customWidth="1"/>
    <col min="5383" max="5383" width="11.7109375" style="506" customWidth="1"/>
    <col min="5384" max="5384" width="15.7109375" style="506" customWidth="1"/>
    <col min="5385" max="5385" width="17.28515625" style="506" customWidth="1"/>
    <col min="5386" max="5386" width="12.140625" style="506" customWidth="1"/>
    <col min="5387" max="5632" width="9.140625" style="506"/>
    <col min="5633" max="5633" width="4.140625" style="506" customWidth="1"/>
    <col min="5634" max="5634" width="4.28515625" style="506" customWidth="1"/>
    <col min="5635" max="5635" width="14.42578125" style="506" customWidth="1"/>
    <col min="5636" max="5636" width="65" style="506" customWidth="1"/>
    <col min="5637" max="5637" width="6.7109375" style="506" customWidth="1"/>
    <col min="5638" max="5638" width="10.140625" style="506" customWidth="1"/>
    <col min="5639" max="5639" width="11.7109375" style="506" customWidth="1"/>
    <col min="5640" max="5640" width="15.7109375" style="506" customWidth="1"/>
    <col min="5641" max="5641" width="17.28515625" style="506" customWidth="1"/>
    <col min="5642" max="5642" width="12.140625" style="506" customWidth="1"/>
    <col min="5643" max="5888" width="9.140625" style="506"/>
    <col min="5889" max="5889" width="4.140625" style="506" customWidth="1"/>
    <col min="5890" max="5890" width="4.28515625" style="506" customWidth="1"/>
    <col min="5891" max="5891" width="14.42578125" style="506" customWidth="1"/>
    <col min="5892" max="5892" width="65" style="506" customWidth="1"/>
    <col min="5893" max="5893" width="6.7109375" style="506" customWidth="1"/>
    <col min="5894" max="5894" width="10.140625" style="506" customWidth="1"/>
    <col min="5895" max="5895" width="11.7109375" style="506" customWidth="1"/>
    <col min="5896" max="5896" width="15.7109375" style="506" customWidth="1"/>
    <col min="5897" max="5897" width="17.28515625" style="506" customWidth="1"/>
    <col min="5898" max="5898" width="12.140625" style="506" customWidth="1"/>
    <col min="5899" max="6144" width="9.140625" style="506"/>
    <col min="6145" max="6145" width="4.140625" style="506" customWidth="1"/>
    <col min="6146" max="6146" width="4.28515625" style="506" customWidth="1"/>
    <col min="6147" max="6147" width="14.42578125" style="506" customWidth="1"/>
    <col min="6148" max="6148" width="65" style="506" customWidth="1"/>
    <col min="6149" max="6149" width="6.7109375" style="506" customWidth="1"/>
    <col min="6150" max="6150" width="10.140625" style="506" customWidth="1"/>
    <col min="6151" max="6151" width="11.7109375" style="506" customWidth="1"/>
    <col min="6152" max="6152" width="15.7109375" style="506" customWidth="1"/>
    <col min="6153" max="6153" width="17.28515625" style="506" customWidth="1"/>
    <col min="6154" max="6154" width="12.140625" style="506" customWidth="1"/>
    <col min="6155" max="6400" width="9.140625" style="506"/>
    <col min="6401" max="6401" width="4.140625" style="506" customWidth="1"/>
    <col min="6402" max="6402" width="4.28515625" style="506" customWidth="1"/>
    <col min="6403" max="6403" width="14.42578125" style="506" customWidth="1"/>
    <col min="6404" max="6404" width="65" style="506" customWidth="1"/>
    <col min="6405" max="6405" width="6.7109375" style="506" customWidth="1"/>
    <col min="6406" max="6406" width="10.140625" style="506" customWidth="1"/>
    <col min="6407" max="6407" width="11.7109375" style="506" customWidth="1"/>
    <col min="6408" max="6408" width="15.7109375" style="506" customWidth="1"/>
    <col min="6409" max="6409" width="17.28515625" style="506" customWidth="1"/>
    <col min="6410" max="6410" width="12.140625" style="506" customWidth="1"/>
    <col min="6411" max="6656" width="9.140625" style="506"/>
    <col min="6657" max="6657" width="4.140625" style="506" customWidth="1"/>
    <col min="6658" max="6658" width="4.28515625" style="506" customWidth="1"/>
    <col min="6659" max="6659" width="14.42578125" style="506" customWidth="1"/>
    <col min="6660" max="6660" width="65" style="506" customWidth="1"/>
    <col min="6661" max="6661" width="6.7109375" style="506" customWidth="1"/>
    <col min="6662" max="6662" width="10.140625" style="506" customWidth="1"/>
    <col min="6663" max="6663" width="11.7109375" style="506" customWidth="1"/>
    <col min="6664" max="6664" width="15.7109375" style="506" customWidth="1"/>
    <col min="6665" max="6665" width="17.28515625" style="506" customWidth="1"/>
    <col min="6666" max="6666" width="12.140625" style="506" customWidth="1"/>
    <col min="6667" max="6912" width="9.140625" style="506"/>
    <col min="6913" max="6913" width="4.140625" style="506" customWidth="1"/>
    <col min="6914" max="6914" width="4.28515625" style="506" customWidth="1"/>
    <col min="6915" max="6915" width="14.42578125" style="506" customWidth="1"/>
    <col min="6916" max="6916" width="65" style="506" customWidth="1"/>
    <col min="6917" max="6917" width="6.7109375" style="506" customWidth="1"/>
    <col min="6918" max="6918" width="10.140625" style="506" customWidth="1"/>
    <col min="6919" max="6919" width="11.7109375" style="506" customWidth="1"/>
    <col min="6920" max="6920" width="15.7109375" style="506" customWidth="1"/>
    <col min="6921" max="6921" width="17.28515625" style="506" customWidth="1"/>
    <col min="6922" max="6922" width="12.140625" style="506" customWidth="1"/>
    <col min="6923" max="7168" width="9.140625" style="506"/>
    <col min="7169" max="7169" width="4.140625" style="506" customWidth="1"/>
    <col min="7170" max="7170" width="4.28515625" style="506" customWidth="1"/>
    <col min="7171" max="7171" width="14.42578125" style="506" customWidth="1"/>
    <col min="7172" max="7172" width="65" style="506" customWidth="1"/>
    <col min="7173" max="7173" width="6.7109375" style="506" customWidth="1"/>
    <col min="7174" max="7174" width="10.140625" style="506" customWidth="1"/>
    <col min="7175" max="7175" width="11.7109375" style="506" customWidth="1"/>
    <col min="7176" max="7176" width="15.7109375" style="506" customWidth="1"/>
    <col min="7177" max="7177" width="17.28515625" style="506" customWidth="1"/>
    <col min="7178" max="7178" width="12.140625" style="506" customWidth="1"/>
    <col min="7179" max="7424" width="9.140625" style="506"/>
    <col min="7425" max="7425" width="4.140625" style="506" customWidth="1"/>
    <col min="7426" max="7426" width="4.28515625" style="506" customWidth="1"/>
    <col min="7427" max="7427" width="14.42578125" style="506" customWidth="1"/>
    <col min="7428" max="7428" width="65" style="506" customWidth="1"/>
    <col min="7429" max="7429" width="6.7109375" style="506" customWidth="1"/>
    <col min="7430" max="7430" width="10.140625" style="506" customWidth="1"/>
    <col min="7431" max="7431" width="11.7109375" style="506" customWidth="1"/>
    <col min="7432" max="7432" width="15.7109375" style="506" customWidth="1"/>
    <col min="7433" max="7433" width="17.28515625" style="506" customWidth="1"/>
    <col min="7434" max="7434" width="12.140625" style="506" customWidth="1"/>
    <col min="7435" max="7680" width="9.140625" style="506"/>
    <col min="7681" max="7681" width="4.140625" style="506" customWidth="1"/>
    <col min="7682" max="7682" width="4.28515625" style="506" customWidth="1"/>
    <col min="7683" max="7683" width="14.42578125" style="506" customWidth="1"/>
    <col min="7684" max="7684" width="65" style="506" customWidth="1"/>
    <col min="7685" max="7685" width="6.7109375" style="506" customWidth="1"/>
    <col min="7686" max="7686" width="10.140625" style="506" customWidth="1"/>
    <col min="7687" max="7687" width="11.7109375" style="506" customWidth="1"/>
    <col min="7688" max="7688" width="15.7109375" style="506" customWidth="1"/>
    <col min="7689" max="7689" width="17.28515625" style="506" customWidth="1"/>
    <col min="7690" max="7690" width="12.140625" style="506" customWidth="1"/>
    <col min="7691" max="7936" width="9.140625" style="506"/>
    <col min="7937" max="7937" width="4.140625" style="506" customWidth="1"/>
    <col min="7938" max="7938" width="4.28515625" style="506" customWidth="1"/>
    <col min="7939" max="7939" width="14.42578125" style="506" customWidth="1"/>
    <col min="7940" max="7940" width="65" style="506" customWidth="1"/>
    <col min="7941" max="7941" width="6.7109375" style="506" customWidth="1"/>
    <col min="7942" max="7942" width="10.140625" style="506" customWidth="1"/>
    <col min="7943" max="7943" width="11.7109375" style="506" customWidth="1"/>
    <col min="7944" max="7944" width="15.7109375" style="506" customWidth="1"/>
    <col min="7945" max="7945" width="17.28515625" style="506" customWidth="1"/>
    <col min="7946" max="7946" width="12.140625" style="506" customWidth="1"/>
    <col min="7947" max="8192" width="9.140625" style="506"/>
    <col min="8193" max="8193" width="4.140625" style="506" customWidth="1"/>
    <col min="8194" max="8194" width="4.28515625" style="506" customWidth="1"/>
    <col min="8195" max="8195" width="14.42578125" style="506" customWidth="1"/>
    <col min="8196" max="8196" width="65" style="506" customWidth="1"/>
    <col min="8197" max="8197" width="6.7109375" style="506" customWidth="1"/>
    <col min="8198" max="8198" width="10.140625" style="506" customWidth="1"/>
    <col min="8199" max="8199" width="11.7109375" style="506" customWidth="1"/>
    <col min="8200" max="8200" width="15.7109375" style="506" customWidth="1"/>
    <col min="8201" max="8201" width="17.28515625" style="506" customWidth="1"/>
    <col min="8202" max="8202" width="12.140625" style="506" customWidth="1"/>
    <col min="8203" max="8448" width="9.140625" style="506"/>
    <col min="8449" max="8449" width="4.140625" style="506" customWidth="1"/>
    <col min="8450" max="8450" width="4.28515625" style="506" customWidth="1"/>
    <col min="8451" max="8451" width="14.42578125" style="506" customWidth="1"/>
    <col min="8452" max="8452" width="65" style="506" customWidth="1"/>
    <col min="8453" max="8453" width="6.7109375" style="506" customWidth="1"/>
    <col min="8454" max="8454" width="10.140625" style="506" customWidth="1"/>
    <col min="8455" max="8455" width="11.7109375" style="506" customWidth="1"/>
    <col min="8456" max="8456" width="15.7109375" style="506" customWidth="1"/>
    <col min="8457" max="8457" width="17.28515625" style="506" customWidth="1"/>
    <col min="8458" max="8458" width="12.140625" style="506" customWidth="1"/>
    <col min="8459" max="8704" width="9.140625" style="506"/>
    <col min="8705" max="8705" width="4.140625" style="506" customWidth="1"/>
    <col min="8706" max="8706" width="4.28515625" style="506" customWidth="1"/>
    <col min="8707" max="8707" width="14.42578125" style="506" customWidth="1"/>
    <col min="8708" max="8708" width="65" style="506" customWidth="1"/>
    <col min="8709" max="8709" width="6.7109375" style="506" customWidth="1"/>
    <col min="8710" max="8710" width="10.140625" style="506" customWidth="1"/>
    <col min="8711" max="8711" width="11.7109375" style="506" customWidth="1"/>
    <col min="8712" max="8712" width="15.7109375" style="506" customWidth="1"/>
    <col min="8713" max="8713" width="17.28515625" style="506" customWidth="1"/>
    <col min="8714" max="8714" width="12.140625" style="506" customWidth="1"/>
    <col min="8715" max="8960" width="9.140625" style="506"/>
    <col min="8961" max="8961" width="4.140625" style="506" customWidth="1"/>
    <col min="8962" max="8962" width="4.28515625" style="506" customWidth="1"/>
    <col min="8963" max="8963" width="14.42578125" style="506" customWidth="1"/>
    <col min="8964" max="8964" width="65" style="506" customWidth="1"/>
    <col min="8965" max="8965" width="6.7109375" style="506" customWidth="1"/>
    <col min="8966" max="8966" width="10.140625" style="506" customWidth="1"/>
    <col min="8967" max="8967" width="11.7109375" style="506" customWidth="1"/>
    <col min="8968" max="8968" width="15.7109375" style="506" customWidth="1"/>
    <col min="8969" max="8969" width="17.28515625" style="506" customWidth="1"/>
    <col min="8970" max="8970" width="12.140625" style="506" customWidth="1"/>
    <col min="8971" max="9216" width="9.140625" style="506"/>
    <col min="9217" max="9217" width="4.140625" style="506" customWidth="1"/>
    <col min="9218" max="9218" width="4.28515625" style="506" customWidth="1"/>
    <col min="9219" max="9219" width="14.42578125" style="506" customWidth="1"/>
    <col min="9220" max="9220" width="65" style="506" customWidth="1"/>
    <col min="9221" max="9221" width="6.7109375" style="506" customWidth="1"/>
    <col min="9222" max="9222" width="10.140625" style="506" customWidth="1"/>
    <col min="9223" max="9223" width="11.7109375" style="506" customWidth="1"/>
    <col min="9224" max="9224" width="15.7109375" style="506" customWidth="1"/>
    <col min="9225" max="9225" width="17.28515625" style="506" customWidth="1"/>
    <col min="9226" max="9226" width="12.140625" style="506" customWidth="1"/>
    <col min="9227" max="9472" width="9.140625" style="506"/>
    <col min="9473" max="9473" width="4.140625" style="506" customWidth="1"/>
    <col min="9474" max="9474" width="4.28515625" style="506" customWidth="1"/>
    <col min="9475" max="9475" width="14.42578125" style="506" customWidth="1"/>
    <col min="9476" max="9476" width="65" style="506" customWidth="1"/>
    <col min="9477" max="9477" width="6.7109375" style="506" customWidth="1"/>
    <col min="9478" max="9478" width="10.140625" style="506" customWidth="1"/>
    <col min="9479" max="9479" width="11.7109375" style="506" customWidth="1"/>
    <col min="9480" max="9480" width="15.7109375" style="506" customWidth="1"/>
    <col min="9481" max="9481" width="17.28515625" style="506" customWidth="1"/>
    <col min="9482" max="9482" width="12.140625" style="506" customWidth="1"/>
    <col min="9483" max="9728" width="9.140625" style="506"/>
    <col min="9729" max="9729" width="4.140625" style="506" customWidth="1"/>
    <col min="9730" max="9730" width="4.28515625" style="506" customWidth="1"/>
    <col min="9731" max="9731" width="14.42578125" style="506" customWidth="1"/>
    <col min="9732" max="9732" width="65" style="506" customWidth="1"/>
    <col min="9733" max="9733" width="6.7109375" style="506" customWidth="1"/>
    <col min="9734" max="9734" width="10.140625" style="506" customWidth="1"/>
    <col min="9735" max="9735" width="11.7109375" style="506" customWidth="1"/>
    <col min="9736" max="9736" width="15.7109375" style="506" customWidth="1"/>
    <col min="9737" max="9737" width="17.28515625" style="506" customWidth="1"/>
    <col min="9738" max="9738" width="12.140625" style="506" customWidth="1"/>
    <col min="9739" max="9984" width="9.140625" style="506"/>
    <col min="9985" max="9985" width="4.140625" style="506" customWidth="1"/>
    <col min="9986" max="9986" width="4.28515625" style="506" customWidth="1"/>
    <col min="9987" max="9987" width="14.42578125" style="506" customWidth="1"/>
    <col min="9988" max="9988" width="65" style="506" customWidth="1"/>
    <col min="9989" max="9989" width="6.7109375" style="506" customWidth="1"/>
    <col min="9990" max="9990" width="10.140625" style="506" customWidth="1"/>
    <col min="9991" max="9991" width="11.7109375" style="506" customWidth="1"/>
    <col min="9992" max="9992" width="15.7109375" style="506" customWidth="1"/>
    <col min="9993" max="9993" width="17.28515625" style="506" customWidth="1"/>
    <col min="9994" max="9994" width="12.140625" style="506" customWidth="1"/>
    <col min="9995" max="10240" width="9.140625" style="506"/>
    <col min="10241" max="10241" width="4.140625" style="506" customWidth="1"/>
    <col min="10242" max="10242" width="4.28515625" style="506" customWidth="1"/>
    <col min="10243" max="10243" width="14.42578125" style="506" customWidth="1"/>
    <col min="10244" max="10244" width="65" style="506" customWidth="1"/>
    <col min="10245" max="10245" width="6.7109375" style="506" customWidth="1"/>
    <col min="10246" max="10246" width="10.140625" style="506" customWidth="1"/>
    <col min="10247" max="10247" width="11.7109375" style="506" customWidth="1"/>
    <col min="10248" max="10248" width="15.7109375" style="506" customWidth="1"/>
    <col min="10249" max="10249" width="17.28515625" style="506" customWidth="1"/>
    <col min="10250" max="10250" width="12.140625" style="506" customWidth="1"/>
    <col min="10251" max="10496" width="9.140625" style="506"/>
    <col min="10497" max="10497" width="4.140625" style="506" customWidth="1"/>
    <col min="10498" max="10498" width="4.28515625" style="506" customWidth="1"/>
    <col min="10499" max="10499" width="14.42578125" style="506" customWidth="1"/>
    <col min="10500" max="10500" width="65" style="506" customWidth="1"/>
    <col min="10501" max="10501" width="6.7109375" style="506" customWidth="1"/>
    <col min="10502" max="10502" width="10.140625" style="506" customWidth="1"/>
    <col min="10503" max="10503" width="11.7109375" style="506" customWidth="1"/>
    <col min="10504" max="10504" width="15.7109375" style="506" customWidth="1"/>
    <col min="10505" max="10505" width="17.28515625" style="506" customWidth="1"/>
    <col min="10506" max="10506" width="12.140625" style="506" customWidth="1"/>
    <col min="10507" max="10752" width="9.140625" style="506"/>
    <col min="10753" max="10753" width="4.140625" style="506" customWidth="1"/>
    <col min="10754" max="10754" width="4.28515625" style="506" customWidth="1"/>
    <col min="10755" max="10755" width="14.42578125" style="506" customWidth="1"/>
    <col min="10756" max="10756" width="65" style="506" customWidth="1"/>
    <col min="10757" max="10757" width="6.7109375" style="506" customWidth="1"/>
    <col min="10758" max="10758" width="10.140625" style="506" customWidth="1"/>
    <col min="10759" max="10759" width="11.7109375" style="506" customWidth="1"/>
    <col min="10760" max="10760" width="15.7109375" style="506" customWidth="1"/>
    <col min="10761" max="10761" width="17.28515625" style="506" customWidth="1"/>
    <col min="10762" max="10762" width="12.140625" style="506" customWidth="1"/>
    <col min="10763" max="11008" width="9.140625" style="506"/>
    <col min="11009" max="11009" width="4.140625" style="506" customWidth="1"/>
    <col min="11010" max="11010" width="4.28515625" style="506" customWidth="1"/>
    <col min="11011" max="11011" width="14.42578125" style="506" customWidth="1"/>
    <col min="11012" max="11012" width="65" style="506" customWidth="1"/>
    <col min="11013" max="11013" width="6.7109375" style="506" customWidth="1"/>
    <col min="11014" max="11014" width="10.140625" style="506" customWidth="1"/>
    <col min="11015" max="11015" width="11.7109375" style="506" customWidth="1"/>
    <col min="11016" max="11016" width="15.7109375" style="506" customWidth="1"/>
    <col min="11017" max="11017" width="17.28515625" style="506" customWidth="1"/>
    <col min="11018" max="11018" width="12.140625" style="506" customWidth="1"/>
    <col min="11019" max="11264" width="9.140625" style="506"/>
    <col min="11265" max="11265" width="4.140625" style="506" customWidth="1"/>
    <col min="11266" max="11266" width="4.28515625" style="506" customWidth="1"/>
    <col min="11267" max="11267" width="14.42578125" style="506" customWidth="1"/>
    <col min="11268" max="11268" width="65" style="506" customWidth="1"/>
    <col min="11269" max="11269" width="6.7109375" style="506" customWidth="1"/>
    <col min="11270" max="11270" width="10.140625" style="506" customWidth="1"/>
    <col min="11271" max="11271" width="11.7109375" style="506" customWidth="1"/>
    <col min="11272" max="11272" width="15.7109375" style="506" customWidth="1"/>
    <col min="11273" max="11273" width="17.28515625" style="506" customWidth="1"/>
    <col min="11274" max="11274" width="12.140625" style="506" customWidth="1"/>
    <col min="11275" max="11520" width="9.140625" style="506"/>
    <col min="11521" max="11521" width="4.140625" style="506" customWidth="1"/>
    <col min="11522" max="11522" width="4.28515625" style="506" customWidth="1"/>
    <col min="11523" max="11523" width="14.42578125" style="506" customWidth="1"/>
    <col min="11524" max="11524" width="65" style="506" customWidth="1"/>
    <col min="11525" max="11525" width="6.7109375" style="506" customWidth="1"/>
    <col min="11526" max="11526" width="10.140625" style="506" customWidth="1"/>
    <col min="11527" max="11527" width="11.7109375" style="506" customWidth="1"/>
    <col min="11528" max="11528" width="15.7109375" style="506" customWidth="1"/>
    <col min="11529" max="11529" width="17.28515625" style="506" customWidth="1"/>
    <col min="11530" max="11530" width="12.140625" style="506" customWidth="1"/>
    <col min="11531" max="11776" width="9.140625" style="506"/>
    <col min="11777" max="11777" width="4.140625" style="506" customWidth="1"/>
    <col min="11778" max="11778" width="4.28515625" style="506" customWidth="1"/>
    <col min="11779" max="11779" width="14.42578125" style="506" customWidth="1"/>
    <col min="11780" max="11780" width="65" style="506" customWidth="1"/>
    <col min="11781" max="11781" width="6.7109375" style="506" customWidth="1"/>
    <col min="11782" max="11782" width="10.140625" style="506" customWidth="1"/>
    <col min="11783" max="11783" width="11.7109375" style="506" customWidth="1"/>
    <col min="11784" max="11784" width="15.7109375" style="506" customWidth="1"/>
    <col min="11785" max="11785" width="17.28515625" style="506" customWidth="1"/>
    <col min="11786" max="11786" width="12.140625" style="506" customWidth="1"/>
    <col min="11787" max="12032" width="9.140625" style="506"/>
    <col min="12033" max="12033" width="4.140625" style="506" customWidth="1"/>
    <col min="12034" max="12034" width="4.28515625" style="506" customWidth="1"/>
    <col min="12035" max="12035" width="14.42578125" style="506" customWidth="1"/>
    <col min="12036" max="12036" width="65" style="506" customWidth="1"/>
    <col min="12037" max="12037" width="6.7109375" style="506" customWidth="1"/>
    <col min="12038" max="12038" width="10.140625" style="506" customWidth="1"/>
    <col min="12039" max="12039" width="11.7109375" style="506" customWidth="1"/>
    <col min="12040" max="12040" width="15.7109375" style="506" customWidth="1"/>
    <col min="12041" max="12041" width="17.28515625" style="506" customWidth="1"/>
    <col min="12042" max="12042" width="12.140625" style="506" customWidth="1"/>
    <col min="12043" max="12288" width="9.140625" style="506"/>
    <col min="12289" max="12289" width="4.140625" style="506" customWidth="1"/>
    <col min="12290" max="12290" width="4.28515625" style="506" customWidth="1"/>
    <col min="12291" max="12291" width="14.42578125" style="506" customWidth="1"/>
    <col min="12292" max="12292" width="65" style="506" customWidth="1"/>
    <col min="12293" max="12293" width="6.7109375" style="506" customWidth="1"/>
    <col min="12294" max="12294" width="10.140625" style="506" customWidth="1"/>
    <col min="12295" max="12295" width="11.7109375" style="506" customWidth="1"/>
    <col min="12296" max="12296" width="15.7109375" style="506" customWidth="1"/>
    <col min="12297" max="12297" width="17.28515625" style="506" customWidth="1"/>
    <col min="12298" max="12298" width="12.140625" style="506" customWidth="1"/>
    <col min="12299" max="12544" width="9.140625" style="506"/>
    <col min="12545" max="12545" width="4.140625" style="506" customWidth="1"/>
    <col min="12546" max="12546" width="4.28515625" style="506" customWidth="1"/>
    <col min="12547" max="12547" width="14.42578125" style="506" customWidth="1"/>
    <col min="12548" max="12548" width="65" style="506" customWidth="1"/>
    <col min="12549" max="12549" width="6.7109375" style="506" customWidth="1"/>
    <col min="12550" max="12550" width="10.140625" style="506" customWidth="1"/>
    <col min="12551" max="12551" width="11.7109375" style="506" customWidth="1"/>
    <col min="12552" max="12552" width="15.7109375" style="506" customWidth="1"/>
    <col min="12553" max="12553" width="17.28515625" style="506" customWidth="1"/>
    <col min="12554" max="12554" width="12.140625" style="506" customWidth="1"/>
    <col min="12555" max="12800" width="9.140625" style="506"/>
    <col min="12801" max="12801" width="4.140625" style="506" customWidth="1"/>
    <col min="12802" max="12802" width="4.28515625" style="506" customWidth="1"/>
    <col min="12803" max="12803" width="14.42578125" style="506" customWidth="1"/>
    <col min="12804" max="12804" width="65" style="506" customWidth="1"/>
    <col min="12805" max="12805" width="6.7109375" style="506" customWidth="1"/>
    <col min="12806" max="12806" width="10.140625" style="506" customWidth="1"/>
    <col min="12807" max="12807" width="11.7109375" style="506" customWidth="1"/>
    <col min="12808" max="12808" width="15.7109375" style="506" customWidth="1"/>
    <col min="12809" max="12809" width="17.28515625" style="506" customWidth="1"/>
    <col min="12810" max="12810" width="12.140625" style="506" customWidth="1"/>
    <col min="12811" max="13056" width="9.140625" style="506"/>
    <col min="13057" max="13057" width="4.140625" style="506" customWidth="1"/>
    <col min="13058" max="13058" width="4.28515625" style="506" customWidth="1"/>
    <col min="13059" max="13059" width="14.42578125" style="506" customWidth="1"/>
    <col min="13060" max="13060" width="65" style="506" customWidth="1"/>
    <col min="13061" max="13061" width="6.7109375" style="506" customWidth="1"/>
    <col min="13062" max="13062" width="10.140625" style="506" customWidth="1"/>
    <col min="13063" max="13063" width="11.7109375" style="506" customWidth="1"/>
    <col min="13064" max="13064" width="15.7109375" style="506" customWidth="1"/>
    <col min="13065" max="13065" width="17.28515625" style="506" customWidth="1"/>
    <col min="13066" max="13066" width="12.140625" style="506" customWidth="1"/>
    <col min="13067" max="13312" width="9.140625" style="506"/>
    <col min="13313" max="13313" width="4.140625" style="506" customWidth="1"/>
    <col min="13314" max="13314" width="4.28515625" style="506" customWidth="1"/>
    <col min="13315" max="13315" width="14.42578125" style="506" customWidth="1"/>
    <col min="13316" max="13316" width="65" style="506" customWidth="1"/>
    <col min="13317" max="13317" width="6.7109375" style="506" customWidth="1"/>
    <col min="13318" max="13318" width="10.140625" style="506" customWidth="1"/>
    <col min="13319" max="13319" width="11.7109375" style="506" customWidth="1"/>
    <col min="13320" max="13320" width="15.7109375" style="506" customWidth="1"/>
    <col min="13321" max="13321" width="17.28515625" style="506" customWidth="1"/>
    <col min="13322" max="13322" width="12.140625" style="506" customWidth="1"/>
    <col min="13323" max="13568" width="9.140625" style="506"/>
    <col min="13569" max="13569" width="4.140625" style="506" customWidth="1"/>
    <col min="13570" max="13570" width="4.28515625" style="506" customWidth="1"/>
    <col min="13571" max="13571" width="14.42578125" style="506" customWidth="1"/>
    <col min="13572" max="13572" width="65" style="506" customWidth="1"/>
    <col min="13573" max="13573" width="6.7109375" style="506" customWidth="1"/>
    <col min="13574" max="13574" width="10.140625" style="506" customWidth="1"/>
    <col min="13575" max="13575" width="11.7109375" style="506" customWidth="1"/>
    <col min="13576" max="13576" width="15.7109375" style="506" customWidth="1"/>
    <col min="13577" max="13577" width="17.28515625" style="506" customWidth="1"/>
    <col min="13578" max="13578" width="12.140625" style="506" customWidth="1"/>
    <col min="13579" max="13824" width="9.140625" style="506"/>
    <col min="13825" max="13825" width="4.140625" style="506" customWidth="1"/>
    <col min="13826" max="13826" width="4.28515625" style="506" customWidth="1"/>
    <col min="13827" max="13827" width="14.42578125" style="506" customWidth="1"/>
    <col min="13828" max="13828" width="65" style="506" customWidth="1"/>
    <col min="13829" max="13829" width="6.7109375" style="506" customWidth="1"/>
    <col min="13830" max="13830" width="10.140625" style="506" customWidth="1"/>
    <col min="13831" max="13831" width="11.7109375" style="506" customWidth="1"/>
    <col min="13832" max="13832" width="15.7109375" style="506" customWidth="1"/>
    <col min="13833" max="13833" width="17.28515625" style="506" customWidth="1"/>
    <col min="13834" max="13834" width="12.140625" style="506" customWidth="1"/>
    <col min="13835" max="14080" width="9.140625" style="506"/>
    <col min="14081" max="14081" width="4.140625" style="506" customWidth="1"/>
    <col min="14082" max="14082" width="4.28515625" style="506" customWidth="1"/>
    <col min="14083" max="14083" width="14.42578125" style="506" customWidth="1"/>
    <col min="14084" max="14084" width="65" style="506" customWidth="1"/>
    <col min="14085" max="14085" width="6.7109375" style="506" customWidth="1"/>
    <col min="14086" max="14086" width="10.140625" style="506" customWidth="1"/>
    <col min="14087" max="14087" width="11.7109375" style="506" customWidth="1"/>
    <col min="14088" max="14088" width="15.7109375" style="506" customWidth="1"/>
    <col min="14089" max="14089" width="17.28515625" style="506" customWidth="1"/>
    <col min="14090" max="14090" width="12.140625" style="506" customWidth="1"/>
    <col min="14091" max="14336" width="9.140625" style="506"/>
    <col min="14337" max="14337" width="4.140625" style="506" customWidth="1"/>
    <col min="14338" max="14338" width="4.28515625" style="506" customWidth="1"/>
    <col min="14339" max="14339" width="14.42578125" style="506" customWidth="1"/>
    <col min="14340" max="14340" width="65" style="506" customWidth="1"/>
    <col min="14341" max="14341" width="6.7109375" style="506" customWidth="1"/>
    <col min="14342" max="14342" width="10.140625" style="506" customWidth="1"/>
    <col min="14343" max="14343" width="11.7109375" style="506" customWidth="1"/>
    <col min="14344" max="14344" width="15.7109375" style="506" customWidth="1"/>
    <col min="14345" max="14345" width="17.28515625" style="506" customWidth="1"/>
    <col min="14346" max="14346" width="12.140625" style="506" customWidth="1"/>
    <col min="14347" max="14592" width="9.140625" style="506"/>
    <col min="14593" max="14593" width="4.140625" style="506" customWidth="1"/>
    <col min="14594" max="14594" width="4.28515625" style="506" customWidth="1"/>
    <col min="14595" max="14595" width="14.42578125" style="506" customWidth="1"/>
    <col min="14596" max="14596" width="65" style="506" customWidth="1"/>
    <col min="14597" max="14597" width="6.7109375" style="506" customWidth="1"/>
    <col min="14598" max="14598" width="10.140625" style="506" customWidth="1"/>
    <col min="14599" max="14599" width="11.7109375" style="506" customWidth="1"/>
    <col min="14600" max="14600" width="15.7109375" style="506" customWidth="1"/>
    <col min="14601" max="14601" width="17.28515625" style="506" customWidth="1"/>
    <col min="14602" max="14602" width="12.140625" style="506" customWidth="1"/>
    <col min="14603" max="14848" width="9.140625" style="506"/>
    <col min="14849" max="14849" width="4.140625" style="506" customWidth="1"/>
    <col min="14850" max="14850" width="4.28515625" style="506" customWidth="1"/>
    <col min="14851" max="14851" width="14.42578125" style="506" customWidth="1"/>
    <col min="14852" max="14852" width="65" style="506" customWidth="1"/>
    <col min="14853" max="14853" width="6.7109375" style="506" customWidth="1"/>
    <col min="14854" max="14854" width="10.140625" style="506" customWidth="1"/>
    <col min="14855" max="14855" width="11.7109375" style="506" customWidth="1"/>
    <col min="14856" max="14856" width="15.7109375" style="506" customWidth="1"/>
    <col min="14857" max="14857" width="17.28515625" style="506" customWidth="1"/>
    <col min="14858" max="14858" width="12.140625" style="506" customWidth="1"/>
    <col min="14859" max="15104" width="9.140625" style="506"/>
    <col min="15105" max="15105" width="4.140625" style="506" customWidth="1"/>
    <col min="15106" max="15106" width="4.28515625" style="506" customWidth="1"/>
    <col min="15107" max="15107" width="14.42578125" style="506" customWidth="1"/>
    <col min="15108" max="15108" width="65" style="506" customWidth="1"/>
    <col min="15109" max="15109" width="6.7109375" style="506" customWidth="1"/>
    <col min="15110" max="15110" width="10.140625" style="506" customWidth="1"/>
    <col min="15111" max="15111" width="11.7109375" style="506" customWidth="1"/>
    <col min="15112" max="15112" width="15.7109375" style="506" customWidth="1"/>
    <col min="15113" max="15113" width="17.28515625" style="506" customWidth="1"/>
    <col min="15114" max="15114" width="12.140625" style="506" customWidth="1"/>
    <col min="15115" max="15360" width="9.140625" style="506"/>
    <col min="15361" max="15361" width="4.140625" style="506" customWidth="1"/>
    <col min="15362" max="15362" width="4.28515625" style="506" customWidth="1"/>
    <col min="15363" max="15363" width="14.42578125" style="506" customWidth="1"/>
    <col min="15364" max="15364" width="65" style="506" customWidth="1"/>
    <col min="15365" max="15365" width="6.7109375" style="506" customWidth="1"/>
    <col min="15366" max="15366" width="10.140625" style="506" customWidth="1"/>
    <col min="15367" max="15367" width="11.7109375" style="506" customWidth="1"/>
    <col min="15368" max="15368" width="15.7109375" style="506" customWidth="1"/>
    <col min="15369" max="15369" width="17.28515625" style="506" customWidth="1"/>
    <col min="15370" max="15370" width="12.140625" style="506" customWidth="1"/>
    <col min="15371" max="15616" width="9.140625" style="506"/>
    <col min="15617" max="15617" width="4.140625" style="506" customWidth="1"/>
    <col min="15618" max="15618" width="4.28515625" style="506" customWidth="1"/>
    <col min="15619" max="15619" width="14.42578125" style="506" customWidth="1"/>
    <col min="15620" max="15620" width="65" style="506" customWidth="1"/>
    <col min="15621" max="15621" width="6.7109375" style="506" customWidth="1"/>
    <col min="15622" max="15622" width="10.140625" style="506" customWidth="1"/>
    <col min="15623" max="15623" width="11.7109375" style="506" customWidth="1"/>
    <col min="15624" max="15624" width="15.7109375" style="506" customWidth="1"/>
    <col min="15625" max="15625" width="17.28515625" style="506" customWidth="1"/>
    <col min="15626" max="15626" width="12.140625" style="506" customWidth="1"/>
    <col min="15627" max="15872" width="9.140625" style="506"/>
    <col min="15873" max="15873" width="4.140625" style="506" customWidth="1"/>
    <col min="15874" max="15874" width="4.28515625" style="506" customWidth="1"/>
    <col min="15875" max="15875" width="14.42578125" style="506" customWidth="1"/>
    <col min="15876" max="15876" width="65" style="506" customWidth="1"/>
    <col min="15877" max="15877" width="6.7109375" style="506" customWidth="1"/>
    <col min="15878" max="15878" width="10.140625" style="506" customWidth="1"/>
    <col min="15879" max="15879" width="11.7109375" style="506" customWidth="1"/>
    <col min="15880" max="15880" width="15.7109375" style="506" customWidth="1"/>
    <col min="15881" max="15881" width="17.28515625" style="506" customWidth="1"/>
    <col min="15882" max="15882" width="12.140625" style="506" customWidth="1"/>
    <col min="15883" max="16128" width="9.140625" style="506"/>
    <col min="16129" max="16129" width="4.140625" style="506" customWidth="1"/>
    <col min="16130" max="16130" width="4.28515625" style="506" customWidth="1"/>
    <col min="16131" max="16131" width="14.42578125" style="506" customWidth="1"/>
    <col min="16132" max="16132" width="65" style="506" customWidth="1"/>
    <col min="16133" max="16133" width="6.7109375" style="506" customWidth="1"/>
    <col min="16134" max="16134" width="10.140625" style="506" customWidth="1"/>
    <col min="16135" max="16135" width="11.7109375" style="506" customWidth="1"/>
    <col min="16136" max="16136" width="15.7109375" style="506" customWidth="1"/>
    <col min="16137" max="16137" width="17.28515625" style="506" customWidth="1"/>
    <col min="16138" max="16138" width="12.140625" style="506" customWidth="1"/>
    <col min="16139" max="16384" width="9.140625" style="506"/>
  </cols>
  <sheetData>
    <row r="1" spans="1:256" ht="21" customHeight="1">
      <c r="A1" s="120" t="s">
        <v>839</v>
      </c>
      <c r="B1" s="504"/>
      <c r="C1" s="504"/>
      <c r="D1" s="504"/>
      <c r="E1" s="127"/>
      <c r="F1" s="127"/>
      <c r="G1" s="127"/>
      <c r="H1" s="127"/>
      <c r="I1" s="127"/>
    </row>
    <row r="2" spans="1:256" ht="13.5" customHeight="1">
      <c r="A2" s="142" t="s">
        <v>731</v>
      </c>
      <c r="B2" s="315"/>
      <c r="C2" s="315"/>
      <c r="D2" s="315"/>
      <c r="E2" s="507"/>
      <c r="F2" s="507"/>
      <c r="G2" s="507"/>
      <c r="H2" s="507"/>
      <c r="I2" s="508"/>
      <c r="J2" s="509"/>
      <c r="K2" s="509"/>
      <c r="L2" s="509"/>
      <c r="M2" s="509"/>
      <c r="N2" s="509"/>
      <c r="O2" s="509"/>
      <c r="P2" s="509"/>
      <c r="Q2" s="509"/>
      <c r="R2" s="509"/>
      <c r="S2" s="509"/>
      <c r="T2" s="509"/>
      <c r="U2" s="509"/>
      <c r="V2" s="509"/>
      <c r="W2" s="509"/>
      <c r="X2" s="509"/>
      <c r="Y2" s="509"/>
      <c r="Z2" s="509"/>
      <c r="AA2" s="509"/>
      <c r="AB2" s="509"/>
      <c r="AC2" s="509"/>
      <c r="AD2" s="509"/>
      <c r="AE2" s="509"/>
      <c r="AF2" s="509"/>
      <c r="AG2" s="509"/>
      <c r="AH2" s="509"/>
      <c r="AI2" s="509"/>
      <c r="AJ2" s="509"/>
      <c r="AK2" s="509"/>
      <c r="AL2" s="509"/>
      <c r="AM2" s="509"/>
      <c r="AN2" s="509"/>
      <c r="AO2" s="509"/>
      <c r="AP2" s="508"/>
      <c r="AQ2" s="508"/>
      <c r="AR2" s="508"/>
      <c r="AS2" s="508"/>
      <c r="AT2" s="508"/>
      <c r="AU2" s="508"/>
      <c r="AV2" s="508"/>
      <c r="AW2" s="508"/>
      <c r="AX2" s="508"/>
      <c r="AY2" s="508"/>
      <c r="AZ2" s="508"/>
      <c r="BA2" s="508"/>
      <c r="BB2" s="508"/>
      <c r="BC2" s="508"/>
      <c r="BD2" s="508"/>
      <c r="BE2" s="508"/>
      <c r="BF2" s="508"/>
      <c r="BG2" s="508"/>
      <c r="BH2" s="508"/>
      <c r="BI2" s="508"/>
      <c r="BJ2" s="508"/>
      <c r="BK2" s="508"/>
      <c r="BL2" s="508"/>
      <c r="BM2" s="508"/>
      <c r="BN2" s="508"/>
      <c r="BO2" s="508"/>
      <c r="BP2" s="508"/>
      <c r="BQ2" s="508"/>
      <c r="BR2" s="508"/>
      <c r="BS2" s="508"/>
      <c r="BT2" s="508"/>
      <c r="BU2" s="508"/>
      <c r="BV2" s="508"/>
      <c r="BW2" s="508"/>
      <c r="BX2" s="508"/>
      <c r="BY2" s="508"/>
      <c r="BZ2" s="508"/>
      <c r="CA2" s="508"/>
      <c r="CB2" s="508"/>
      <c r="CC2" s="508"/>
      <c r="CD2" s="508"/>
      <c r="CE2" s="508"/>
      <c r="CF2" s="508"/>
      <c r="CG2" s="508"/>
      <c r="CH2" s="508"/>
      <c r="CI2" s="508"/>
      <c r="CJ2" s="508"/>
      <c r="CK2" s="508"/>
      <c r="CL2" s="508"/>
      <c r="CM2" s="508"/>
      <c r="CN2" s="508"/>
      <c r="CO2" s="508"/>
      <c r="CP2" s="508"/>
      <c r="CQ2" s="508"/>
      <c r="CR2" s="508"/>
      <c r="CS2" s="508"/>
      <c r="CT2" s="508"/>
      <c r="CU2" s="508"/>
      <c r="CV2" s="508"/>
      <c r="CW2" s="508"/>
      <c r="CX2" s="508"/>
      <c r="CY2" s="508"/>
      <c r="CZ2" s="508"/>
      <c r="DA2" s="508"/>
      <c r="DB2" s="508"/>
      <c r="DC2" s="508"/>
      <c r="DD2" s="508"/>
      <c r="DE2" s="508"/>
      <c r="DF2" s="508"/>
      <c r="DG2" s="508"/>
      <c r="DH2" s="508"/>
      <c r="DI2" s="508"/>
      <c r="DJ2" s="508"/>
      <c r="DK2" s="508"/>
      <c r="DL2" s="508"/>
      <c r="DM2" s="508"/>
      <c r="DN2" s="508"/>
      <c r="DO2" s="508"/>
      <c r="DP2" s="508"/>
      <c r="DQ2" s="508"/>
      <c r="DR2" s="508"/>
      <c r="DS2" s="508"/>
      <c r="DT2" s="508"/>
      <c r="DU2" s="508"/>
      <c r="DV2" s="508"/>
      <c r="DW2" s="508"/>
      <c r="DX2" s="508"/>
      <c r="DY2" s="508"/>
      <c r="DZ2" s="508"/>
      <c r="EA2" s="508"/>
      <c r="EB2" s="508"/>
      <c r="EC2" s="508"/>
      <c r="ED2" s="508"/>
      <c r="EE2" s="508"/>
      <c r="EF2" s="508"/>
      <c r="EG2" s="508"/>
      <c r="EH2" s="508"/>
      <c r="EI2" s="508"/>
      <c r="EJ2" s="508"/>
      <c r="EK2" s="508"/>
      <c r="EL2" s="508"/>
      <c r="EM2" s="508"/>
      <c r="EN2" s="508"/>
      <c r="EO2" s="508"/>
      <c r="EP2" s="508"/>
      <c r="EQ2" s="508"/>
      <c r="ER2" s="508"/>
      <c r="ES2" s="508"/>
      <c r="ET2" s="508"/>
      <c r="EU2" s="508"/>
      <c r="EV2" s="508"/>
      <c r="EW2" s="508"/>
      <c r="EX2" s="508"/>
      <c r="EY2" s="508"/>
      <c r="EZ2" s="508"/>
      <c r="FA2" s="508"/>
      <c r="FB2" s="508"/>
      <c r="FC2" s="508"/>
      <c r="FD2" s="508"/>
      <c r="FE2" s="508"/>
      <c r="FF2" s="508"/>
      <c r="FG2" s="508"/>
      <c r="FH2" s="508"/>
      <c r="FI2" s="508"/>
      <c r="FJ2" s="508"/>
      <c r="FK2" s="508"/>
      <c r="FL2" s="508"/>
      <c r="FM2" s="508"/>
      <c r="FN2" s="508"/>
      <c r="FO2" s="508"/>
      <c r="FP2" s="508"/>
      <c r="FQ2" s="508"/>
      <c r="FR2" s="508"/>
      <c r="FS2" s="508"/>
      <c r="FT2" s="508"/>
      <c r="FU2" s="508"/>
      <c r="FV2" s="508"/>
      <c r="FW2" s="508"/>
      <c r="FX2" s="508"/>
      <c r="FY2" s="508"/>
      <c r="FZ2" s="508"/>
      <c r="GA2" s="508"/>
      <c r="GB2" s="508"/>
      <c r="GC2" s="508"/>
      <c r="GD2" s="508"/>
      <c r="GE2" s="508"/>
      <c r="GF2" s="508"/>
      <c r="GG2" s="508"/>
      <c r="GH2" s="508"/>
      <c r="GI2" s="508"/>
      <c r="GJ2" s="508"/>
      <c r="GK2" s="508"/>
      <c r="GL2" s="508"/>
      <c r="GM2" s="508"/>
      <c r="GN2" s="508"/>
      <c r="GO2" s="508"/>
      <c r="GP2" s="508"/>
      <c r="GQ2" s="508"/>
      <c r="GR2" s="508"/>
      <c r="GS2" s="508"/>
      <c r="GT2" s="508"/>
      <c r="GU2" s="508"/>
      <c r="GV2" s="508"/>
      <c r="GW2" s="508"/>
      <c r="GX2" s="508"/>
      <c r="GY2" s="508"/>
      <c r="GZ2" s="508"/>
      <c r="HA2" s="508"/>
      <c r="HB2" s="508"/>
      <c r="HC2" s="508"/>
      <c r="HD2" s="508"/>
      <c r="HE2" s="508"/>
      <c r="HF2" s="508"/>
      <c r="HG2" s="508"/>
      <c r="HH2" s="508"/>
      <c r="HI2" s="508"/>
      <c r="HJ2" s="508"/>
      <c r="HK2" s="508"/>
      <c r="HL2" s="508"/>
      <c r="HM2" s="508"/>
      <c r="HN2" s="508"/>
      <c r="HO2" s="508"/>
      <c r="HP2" s="508"/>
      <c r="HQ2" s="508"/>
      <c r="HR2" s="508"/>
      <c r="HS2" s="508"/>
      <c r="HT2" s="508"/>
      <c r="HU2" s="508"/>
      <c r="HV2" s="508"/>
      <c r="HW2" s="508"/>
      <c r="HX2" s="508"/>
      <c r="HY2" s="508"/>
      <c r="HZ2" s="508"/>
      <c r="IA2" s="508"/>
      <c r="IB2" s="508"/>
      <c r="IC2" s="508"/>
      <c r="ID2" s="508"/>
      <c r="IE2" s="508"/>
      <c r="IF2" s="508"/>
      <c r="IG2" s="508"/>
      <c r="IH2" s="508"/>
      <c r="II2" s="508"/>
      <c r="IJ2" s="508"/>
      <c r="IK2" s="508"/>
      <c r="IL2" s="508"/>
      <c r="IM2" s="508"/>
      <c r="IN2" s="508"/>
      <c r="IO2" s="508"/>
      <c r="IP2" s="508"/>
      <c r="IQ2" s="508"/>
      <c r="IR2" s="508"/>
      <c r="IS2" s="508"/>
      <c r="IT2" s="508"/>
      <c r="IU2" s="508"/>
      <c r="IV2" s="508"/>
    </row>
    <row r="3" spans="1:256" ht="13.5" customHeight="1">
      <c r="A3" s="142" t="s">
        <v>328</v>
      </c>
      <c r="B3" s="315"/>
      <c r="C3" s="315"/>
      <c r="D3" s="315"/>
      <c r="E3" s="510"/>
      <c r="F3" s="511"/>
      <c r="G3" s="511"/>
      <c r="H3" s="508"/>
      <c r="I3" s="508"/>
    </row>
    <row r="4" spans="1:256" ht="13.5" customHeight="1">
      <c r="A4" s="123" t="s">
        <v>542</v>
      </c>
      <c r="B4" s="512"/>
      <c r="C4" s="512"/>
      <c r="D4" s="512"/>
      <c r="E4" s="510"/>
      <c r="F4" s="511"/>
      <c r="G4" s="511"/>
      <c r="H4" s="508"/>
      <c r="I4" s="508"/>
    </row>
    <row r="5" spans="1:256" ht="13.5" customHeight="1">
      <c r="A5" s="128" t="s">
        <v>167</v>
      </c>
      <c r="B5" s="128"/>
      <c r="C5" s="128"/>
      <c r="D5" s="128"/>
      <c r="E5" s="128"/>
      <c r="F5" s="128"/>
      <c r="G5" s="129"/>
      <c r="H5" s="129"/>
      <c r="I5" s="77"/>
      <c r="J5" s="513"/>
      <c r="K5" s="513"/>
      <c r="L5" s="513"/>
      <c r="M5" s="513"/>
      <c r="N5" s="513"/>
      <c r="O5" s="513"/>
      <c r="P5" s="513"/>
      <c r="Q5" s="513"/>
      <c r="R5" s="513"/>
      <c r="S5" s="513"/>
      <c r="T5" s="513"/>
      <c r="U5" s="513"/>
      <c r="V5" s="513"/>
      <c r="W5" s="513"/>
      <c r="X5" s="513"/>
      <c r="Y5" s="513"/>
      <c r="Z5" s="513"/>
      <c r="AA5" s="513"/>
      <c r="AB5" s="513"/>
      <c r="AC5" s="513"/>
      <c r="AD5" s="513"/>
      <c r="AE5" s="513"/>
      <c r="AF5" s="513"/>
      <c r="AG5" s="513"/>
      <c r="AH5" s="513"/>
      <c r="AI5" s="513"/>
      <c r="AJ5" s="513"/>
      <c r="AK5" s="513"/>
      <c r="AL5" s="513"/>
      <c r="AM5" s="513"/>
      <c r="AN5" s="513"/>
      <c r="AO5" s="513"/>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c r="CL5" s="77"/>
      <c r="CM5" s="77"/>
      <c r="CN5" s="77"/>
      <c r="CO5" s="77"/>
      <c r="CP5" s="77"/>
      <c r="CQ5" s="77"/>
      <c r="CR5" s="77"/>
      <c r="CS5" s="77"/>
      <c r="CT5" s="77"/>
      <c r="CU5" s="77"/>
      <c r="CV5" s="77"/>
      <c r="CW5" s="77"/>
      <c r="CX5" s="77"/>
      <c r="CY5" s="77"/>
      <c r="CZ5" s="77"/>
      <c r="DA5" s="77"/>
      <c r="DB5" s="77"/>
      <c r="DC5" s="77"/>
      <c r="DD5" s="77"/>
      <c r="DE5" s="77"/>
      <c r="DF5" s="77"/>
      <c r="DG5" s="77"/>
      <c r="DH5" s="77"/>
      <c r="DI5" s="77"/>
      <c r="DJ5" s="77"/>
      <c r="DK5" s="77"/>
      <c r="DL5" s="77"/>
      <c r="DM5" s="77"/>
      <c r="DN5" s="77"/>
      <c r="DO5" s="77"/>
      <c r="DP5" s="77"/>
      <c r="DQ5" s="77"/>
      <c r="DR5" s="77"/>
      <c r="DS5" s="77"/>
      <c r="DT5" s="77"/>
      <c r="DU5" s="77"/>
      <c r="DV5" s="77"/>
      <c r="DW5" s="77"/>
      <c r="DX5" s="77"/>
      <c r="DY5" s="77"/>
      <c r="DZ5" s="77"/>
      <c r="EA5" s="77"/>
      <c r="EB5" s="77"/>
      <c r="EC5" s="77"/>
      <c r="ED5" s="77"/>
      <c r="EE5" s="77"/>
      <c r="EF5" s="77"/>
      <c r="EG5" s="77"/>
      <c r="EH5" s="77"/>
      <c r="EI5" s="77"/>
      <c r="EJ5" s="77"/>
      <c r="EK5" s="77"/>
      <c r="EL5" s="77"/>
      <c r="EM5" s="77"/>
      <c r="EN5" s="77"/>
      <c r="EO5" s="77"/>
      <c r="EP5" s="77"/>
      <c r="EQ5" s="77"/>
      <c r="ER5" s="77"/>
      <c r="ES5" s="77"/>
      <c r="ET5" s="77"/>
      <c r="EU5" s="77"/>
      <c r="EV5" s="77"/>
      <c r="EW5" s="77"/>
      <c r="EX5" s="77"/>
      <c r="EY5" s="77"/>
      <c r="EZ5" s="77"/>
      <c r="FA5" s="77"/>
      <c r="FB5" s="77"/>
      <c r="FC5" s="77"/>
      <c r="FD5" s="77"/>
      <c r="FE5" s="77"/>
      <c r="FF5" s="77"/>
      <c r="FG5" s="77"/>
      <c r="FH5" s="77"/>
      <c r="FI5" s="77"/>
      <c r="FJ5" s="77"/>
      <c r="FK5" s="77"/>
      <c r="FL5" s="77"/>
      <c r="FM5" s="77"/>
      <c r="FN5" s="77"/>
      <c r="FO5" s="77"/>
      <c r="FP5" s="77"/>
      <c r="FQ5" s="77"/>
      <c r="FR5" s="77"/>
      <c r="FS5" s="77"/>
      <c r="FT5" s="77"/>
      <c r="FU5" s="77"/>
      <c r="FV5" s="77"/>
      <c r="FW5" s="77"/>
      <c r="FX5" s="77"/>
      <c r="FY5" s="77"/>
      <c r="FZ5" s="77"/>
      <c r="GA5" s="77"/>
      <c r="GB5" s="77"/>
      <c r="GC5" s="77"/>
      <c r="GD5" s="77"/>
      <c r="GE5" s="77"/>
      <c r="GF5" s="77"/>
      <c r="GG5" s="77"/>
      <c r="GH5" s="77"/>
      <c r="GI5" s="77"/>
      <c r="GJ5" s="77"/>
      <c r="GK5" s="77"/>
      <c r="GL5" s="77"/>
      <c r="GM5" s="77"/>
      <c r="GN5" s="77"/>
      <c r="GO5" s="77"/>
      <c r="GP5" s="77"/>
      <c r="GQ5" s="77"/>
      <c r="GR5" s="77"/>
      <c r="GS5" s="77"/>
      <c r="GT5" s="77"/>
      <c r="GU5" s="77"/>
      <c r="GV5" s="77"/>
      <c r="GW5" s="77"/>
      <c r="GX5" s="77"/>
      <c r="GY5" s="77"/>
      <c r="GZ5" s="77"/>
      <c r="HA5" s="77"/>
      <c r="HB5" s="77"/>
      <c r="HC5" s="77"/>
      <c r="HD5" s="77"/>
      <c r="HE5" s="77"/>
      <c r="HF5" s="77"/>
      <c r="HG5" s="77"/>
      <c r="HH5" s="77"/>
      <c r="HI5" s="77"/>
      <c r="HJ5" s="77"/>
      <c r="HK5" s="77"/>
      <c r="HL5" s="77"/>
      <c r="HM5" s="77"/>
      <c r="HN5" s="77"/>
      <c r="HO5" s="77"/>
      <c r="HP5" s="77"/>
      <c r="HQ5" s="77"/>
      <c r="HR5" s="77"/>
      <c r="HS5" s="77"/>
      <c r="HT5" s="77"/>
      <c r="HU5" s="77"/>
      <c r="HV5" s="77"/>
      <c r="HW5" s="77"/>
      <c r="HX5" s="77"/>
      <c r="HY5" s="77"/>
      <c r="HZ5" s="77"/>
      <c r="IA5" s="77"/>
      <c r="IB5" s="77"/>
      <c r="IC5" s="77"/>
      <c r="ID5" s="77"/>
      <c r="IE5" s="77"/>
      <c r="IF5" s="77"/>
      <c r="IG5" s="77"/>
      <c r="IH5" s="77"/>
      <c r="II5" s="77"/>
      <c r="IJ5" s="77"/>
      <c r="IK5" s="77"/>
      <c r="IL5" s="77"/>
      <c r="IM5" s="77"/>
      <c r="IN5" s="77"/>
      <c r="IO5" s="77"/>
      <c r="IP5" s="77"/>
      <c r="IQ5" s="77"/>
      <c r="IR5" s="77"/>
      <c r="IS5" s="77"/>
      <c r="IT5" s="77"/>
      <c r="IU5" s="77"/>
      <c r="IV5" s="77"/>
    </row>
    <row r="6" spans="1:256" ht="15">
      <c r="A6" s="511"/>
      <c r="B6" s="511"/>
      <c r="C6" s="511"/>
      <c r="D6" s="514"/>
      <c r="E6" s="515"/>
      <c r="F6" s="511"/>
      <c r="G6" s="511"/>
      <c r="H6" s="511"/>
      <c r="I6" s="516"/>
    </row>
    <row r="7" spans="1:256" ht="22.5">
      <c r="A7" s="734" t="s">
        <v>71</v>
      </c>
      <c r="B7" s="734" t="s">
        <v>72</v>
      </c>
      <c r="C7" s="734" t="s">
        <v>73</v>
      </c>
      <c r="D7" s="734" t="s">
        <v>74</v>
      </c>
      <c r="E7" s="734" t="s">
        <v>75</v>
      </c>
      <c r="F7" s="734" t="s">
        <v>76</v>
      </c>
      <c r="G7" s="734" t="s">
        <v>77</v>
      </c>
      <c r="H7" s="735" t="s">
        <v>16</v>
      </c>
      <c r="I7" s="736" t="s">
        <v>30</v>
      </c>
    </row>
    <row r="8" spans="1:256">
      <c r="A8" s="734" t="s">
        <v>78</v>
      </c>
      <c r="B8" s="734" t="s">
        <v>79</v>
      </c>
      <c r="C8" s="734">
        <v>3</v>
      </c>
      <c r="D8" s="734">
        <v>4</v>
      </c>
      <c r="E8" s="734">
        <v>5</v>
      </c>
      <c r="F8" s="734">
        <v>6</v>
      </c>
      <c r="G8" s="734">
        <v>7</v>
      </c>
      <c r="H8" s="735">
        <v>8</v>
      </c>
      <c r="I8" s="736">
        <v>9</v>
      </c>
    </row>
    <row r="9" spans="1:256" ht="21" customHeight="1">
      <c r="A9" s="737"/>
      <c r="B9" s="738"/>
      <c r="C9" s="738" t="s">
        <v>93</v>
      </c>
      <c r="D9" s="738" t="s">
        <v>94</v>
      </c>
      <c r="E9" s="738"/>
      <c r="F9" s="739"/>
      <c r="G9" s="740"/>
      <c r="H9" s="740">
        <f>H10+H108+H138+H123</f>
        <v>0</v>
      </c>
      <c r="I9" s="509"/>
    </row>
    <row r="10" spans="1:256" ht="13.5" customHeight="1">
      <c r="A10" s="741"/>
      <c r="B10" s="741"/>
      <c r="C10" s="694" t="s">
        <v>78</v>
      </c>
      <c r="D10" s="694" t="s">
        <v>95</v>
      </c>
      <c r="E10" s="742"/>
      <c r="F10" s="743"/>
      <c r="G10" s="696"/>
      <c r="H10" s="696">
        <f>SUM(H11:H107)</f>
        <v>0</v>
      </c>
      <c r="I10" s="744"/>
    </row>
    <row r="11" spans="1:256" ht="13.5" customHeight="1">
      <c r="A11" s="530">
        <v>1</v>
      </c>
      <c r="B11" s="34" t="s">
        <v>96</v>
      </c>
      <c r="C11" s="34">
        <v>115101201</v>
      </c>
      <c r="D11" s="34" t="s">
        <v>153</v>
      </c>
      <c r="E11" s="34" t="s">
        <v>151</v>
      </c>
      <c r="F11" s="531">
        <v>32</v>
      </c>
      <c r="G11" s="79"/>
      <c r="H11" s="532">
        <f t="shared" ref="H11:H16" si="0">F11*G11</f>
        <v>0</v>
      </c>
      <c r="I11" s="533" t="s">
        <v>738</v>
      </c>
      <c r="J11" s="317"/>
    </row>
    <row r="12" spans="1:256" ht="13.5" customHeight="1">
      <c r="A12" s="530">
        <v>2</v>
      </c>
      <c r="B12" s="34" t="s">
        <v>96</v>
      </c>
      <c r="C12" s="34">
        <v>115101301</v>
      </c>
      <c r="D12" s="34" t="s">
        <v>154</v>
      </c>
      <c r="E12" s="34" t="s">
        <v>155</v>
      </c>
      <c r="F12" s="531">
        <v>4</v>
      </c>
      <c r="G12" s="79"/>
      <c r="H12" s="532">
        <f t="shared" si="0"/>
        <v>0</v>
      </c>
      <c r="I12" s="533" t="s">
        <v>738</v>
      </c>
      <c r="J12" s="317"/>
    </row>
    <row r="13" spans="1:256" ht="13.5" customHeight="1">
      <c r="A13" s="530">
        <v>3</v>
      </c>
      <c r="B13" s="34" t="s">
        <v>96</v>
      </c>
      <c r="C13" s="34">
        <v>119001402</v>
      </c>
      <c r="D13" s="34" t="s">
        <v>156</v>
      </c>
      <c r="E13" s="34" t="s">
        <v>115</v>
      </c>
      <c r="F13" s="534">
        <v>2</v>
      </c>
      <c r="G13" s="79"/>
      <c r="H13" s="532">
        <f t="shared" si="0"/>
        <v>0</v>
      </c>
      <c r="I13" s="533" t="s">
        <v>738</v>
      </c>
    </row>
    <row r="14" spans="1:256" ht="13.5" customHeight="1">
      <c r="A14" s="530">
        <v>4</v>
      </c>
      <c r="B14" s="34" t="s">
        <v>96</v>
      </c>
      <c r="C14" s="34">
        <v>119001406</v>
      </c>
      <c r="D14" s="34" t="s">
        <v>157</v>
      </c>
      <c r="E14" s="34" t="s">
        <v>115</v>
      </c>
      <c r="F14" s="534">
        <v>2</v>
      </c>
      <c r="G14" s="79"/>
      <c r="H14" s="532">
        <f t="shared" si="0"/>
        <v>0</v>
      </c>
      <c r="I14" s="533" t="s">
        <v>738</v>
      </c>
    </row>
    <row r="15" spans="1:256" ht="13.5" customHeight="1">
      <c r="A15" s="530">
        <v>5</v>
      </c>
      <c r="B15" s="34" t="s">
        <v>96</v>
      </c>
      <c r="C15" s="34">
        <v>119001412</v>
      </c>
      <c r="D15" s="34" t="s">
        <v>158</v>
      </c>
      <c r="E15" s="34" t="s">
        <v>115</v>
      </c>
      <c r="F15" s="534">
        <v>2</v>
      </c>
      <c r="G15" s="79"/>
      <c r="H15" s="532">
        <f t="shared" si="0"/>
        <v>0</v>
      </c>
      <c r="I15" s="533" t="s">
        <v>738</v>
      </c>
    </row>
    <row r="16" spans="1:256" ht="13.5" customHeight="1">
      <c r="A16" s="530">
        <v>6</v>
      </c>
      <c r="B16" s="34" t="s">
        <v>96</v>
      </c>
      <c r="C16" s="34">
        <v>119001422</v>
      </c>
      <c r="D16" s="34" t="s">
        <v>159</v>
      </c>
      <c r="E16" s="34" t="s">
        <v>115</v>
      </c>
      <c r="F16" s="534">
        <v>5</v>
      </c>
      <c r="G16" s="79"/>
      <c r="H16" s="532">
        <f t="shared" si="0"/>
        <v>0</v>
      </c>
      <c r="I16" s="533" t="s">
        <v>738</v>
      </c>
    </row>
    <row r="17" spans="1:256" s="541" customFormat="1" ht="13.5" customHeight="1">
      <c r="A17" s="535">
        <v>7</v>
      </c>
      <c r="B17" s="536" t="s">
        <v>96</v>
      </c>
      <c r="C17" s="537">
        <v>121112003</v>
      </c>
      <c r="D17" s="537" t="s">
        <v>222</v>
      </c>
      <c r="E17" s="537" t="s">
        <v>98</v>
      </c>
      <c r="F17" s="538">
        <f>SUM(F19:F22)</f>
        <v>44.595200000000006</v>
      </c>
      <c r="G17" s="90"/>
      <c r="H17" s="539">
        <f>F17*G17</f>
        <v>0</v>
      </c>
      <c r="I17" s="533" t="s">
        <v>738</v>
      </c>
      <c r="J17" s="540"/>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row>
    <row r="18" spans="1:256" s="541" customFormat="1" ht="13.5" customHeight="1">
      <c r="A18" s="535"/>
      <c r="B18" s="537"/>
      <c r="C18" s="537"/>
      <c r="D18" s="542" t="s">
        <v>543</v>
      </c>
      <c r="E18" s="537"/>
      <c r="F18" s="452"/>
      <c r="G18" s="544"/>
      <c r="H18" s="539"/>
      <c r="I18" s="545"/>
      <c r="J18" s="546"/>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row>
    <row r="19" spans="1:256" s="541" customFormat="1" ht="13.5" customHeight="1">
      <c r="A19" s="535"/>
      <c r="B19" s="537"/>
      <c r="C19" s="537"/>
      <c r="D19" s="542" t="s">
        <v>765</v>
      </c>
      <c r="E19" s="537"/>
      <c r="F19" s="543">
        <f>(7.8+6.2)*1</f>
        <v>14</v>
      </c>
      <c r="G19" s="544"/>
      <c r="H19" s="539"/>
      <c r="I19" s="545"/>
      <c r="J19" s="540"/>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row>
    <row r="20" spans="1:256" s="541" customFormat="1" ht="13.5" customHeight="1">
      <c r="A20" s="535"/>
      <c r="B20" s="537"/>
      <c r="C20" s="537"/>
      <c r="D20" s="542" t="s">
        <v>544</v>
      </c>
      <c r="E20" s="537"/>
      <c r="F20" s="543">
        <f>(9.6)*1</f>
        <v>9.6</v>
      </c>
      <c r="G20" s="544"/>
      <c r="H20" s="539"/>
      <c r="I20" s="545"/>
      <c r="J20" s="546"/>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row>
    <row r="21" spans="1:256" s="541" customFormat="1" ht="13.5" customHeight="1">
      <c r="A21" s="535"/>
      <c r="B21" s="537"/>
      <c r="C21" s="537"/>
      <c r="D21" s="542" t="s">
        <v>700</v>
      </c>
      <c r="E21" s="537"/>
      <c r="F21" s="543"/>
      <c r="G21" s="544"/>
      <c r="H21" s="539"/>
      <c r="I21" s="545"/>
      <c r="J21" s="546"/>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row>
    <row r="22" spans="1:256" s="541" customFormat="1" ht="13.5" customHeight="1">
      <c r="A22" s="535"/>
      <c r="B22" s="537"/>
      <c r="C22" s="537"/>
      <c r="D22" s="542" t="s">
        <v>699</v>
      </c>
      <c r="E22" s="537"/>
      <c r="F22" s="543">
        <f>(3.24*3.24)*2</f>
        <v>20.995200000000004</v>
      </c>
      <c r="G22" s="544"/>
      <c r="H22" s="539"/>
      <c r="I22" s="545"/>
      <c r="J22" s="546"/>
      <c r="K22" s="452"/>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452"/>
      <c r="AM22" s="452"/>
      <c r="AN22" s="452"/>
      <c r="AO22" s="452"/>
    </row>
    <row r="23" spans="1:256" s="541" customFormat="1" ht="27" customHeight="1">
      <c r="A23" s="535"/>
      <c r="B23" s="537"/>
      <c r="C23" s="537"/>
      <c r="D23" s="542" t="s">
        <v>735</v>
      </c>
      <c r="E23" s="537"/>
      <c r="F23" s="543"/>
      <c r="G23" s="544"/>
      <c r="H23" s="539"/>
      <c r="I23" s="545"/>
      <c r="J23" s="546"/>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row>
    <row r="24" spans="1:256" ht="27" customHeight="1">
      <c r="A24" s="434"/>
      <c r="B24" s="435"/>
      <c r="C24" s="456"/>
      <c r="D24" s="547" t="s">
        <v>519</v>
      </c>
      <c r="E24" s="456"/>
      <c r="F24" s="548"/>
      <c r="G24" s="448"/>
      <c r="H24" s="448"/>
      <c r="I24" s="549"/>
      <c r="J24" s="550"/>
      <c r="K24" s="551"/>
      <c r="L24" s="452"/>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509"/>
      <c r="AM24" s="509"/>
      <c r="AN24" s="509"/>
      <c r="AO24" s="509"/>
      <c r="AP24" s="508"/>
      <c r="AQ24" s="508"/>
      <c r="AR24" s="508"/>
      <c r="AS24" s="508"/>
      <c r="AT24" s="508"/>
      <c r="AU24" s="508"/>
      <c r="AV24" s="508"/>
      <c r="AW24" s="508"/>
      <c r="AX24" s="508"/>
      <c r="AY24" s="508"/>
      <c r="AZ24" s="508"/>
      <c r="BA24" s="508"/>
      <c r="BB24" s="508"/>
      <c r="BC24" s="508"/>
      <c r="BD24" s="508"/>
      <c r="BE24" s="508"/>
      <c r="BF24" s="508"/>
      <c r="BG24" s="508"/>
      <c r="BH24" s="508"/>
      <c r="BI24" s="508"/>
      <c r="BJ24" s="508"/>
      <c r="BK24" s="508"/>
      <c r="BL24" s="508"/>
      <c r="BM24" s="508"/>
      <c r="BN24" s="508"/>
      <c r="BO24" s="508"/>
      <c r="BP24" s="508"/>
      <c r="BQ24" s="508"/>
      <c r="BR24" s="508"/>
      <c r="BS24" s="508"/>
      <c r="BT24" s="508"/>
      <c r="BU24" s="508"/>
      <c r="BV24" s="508"/>
      <c r="BW24" s="508"/>
      <c r="BX24" s="508"/>
      <c r="BY24" s="508"/>
      <c r="BZ24" s="508"/>
      <c r="CA24" s="508"/>
      <c r="CB24" s="508"/>
      <c r="CC24" s="508"/>
      <c r="CD24" s="508"/>
      <c r="CE24" s="508"/>
      <c r="CF24" s="508"/>
      <c r="CG24" s="508"/>
      <c r="CH24" s="508"/>
      <c r="CI24" s="508"/>
      <c r="CJ24" s="508"/>
      <c r="CK24" s="508"/>
      <c r="CL24" s="508"/>
      <c r="CM24" s="508"/>
      <c r="CN24" s="508"/>
      <c r="CO24" s="508"/>
      <c r="CP24" s="508"/>
      <c r="CQ24" s="508"/>
      <c r="CR24" s="508"/>
      <c r="CS24" s="508"/>
      <c r="CT24" s="508"/>
      <c r="CU24" s="508"/>
      <c r="CV24" s="508"/>
      <c r="CW24" s="508"/>
      <c r="CX24" s="508"/>
      <c r="CY24" s="508"/>
      <c r="CZ24" s="508"/>
      <c r="DA24" s="508"/>
      <c r="DB24" s="508"/>
      <c r="DC24" s="508"/>
      <c r="DD24" s="508"/>
      <c r="DE24" s="508"/>
      <c r="DF24" s="508"/>
      <c r="DG24" s="508"/>
      <c r="DH24" s="508"/>
      <c r="DI24" s="508"/>
      <c r="DJ24" s="508"/>
      <c r="DK24" s="508"/>
      <c r="DL24" s="508"/>
      <c r="DM24" s="508"/>
      <c r="DN24" s="508"/>
      <c r="DO24" s="508"/>
      <c r="DP24" s="508"/>
      <c r="DQ24" s="508"/>
      <c r="DR24" s="508"/>
      <c r="DS24" s="508"/>
      <c r="DT24" s="508"/>
      <c r="DU24" s="508"/>
      <c r="DV24" s="508"/>
      <c r="DW24" s="508"/>
      <c r="DX24" s="508"/>
      <c r="DY24" s="508"/>
      <c r="DZ24" s="508"/>
      <c r="EA24" s="508"/>
      <c r="EB24" s="508"/>
      <c r="EC24" s="508"/>
      <c r="ED24" s="508"/>
      <c r="EE24" s="508"/>
      <c r="EF24" s="508"/>
      <c r="EG24" s="508"/>
      <c r="EH24" s="508"/>
      <c r="EI24" s="508"/>
      <c r="EJ24" s="508"/>
      <c r="EK24" s="508"/>
      <c r="EL24" s="508"/>
      <c r="EM24" s="508"/>
      <c r="EN24" s="508"/>
      <c r="EO24" s="508"/>
      <c r="EP24" s="508"/>
      <c r="EQ24" s="508"/>
      <c r="ER24" s="508"/>
      <c r="ES24" s="508"/>
      <c r="ET24" s="508"/>
      <c r="EU24" s="508"/>
      <c r="EV24" s="508"/>
      <c r="EW24" s="508"/>
      <c r="EX24" s="508"/>
      <c r="EY24" s="508"/>
      <c r="EZ24" s="508"/>
      <c r="FA24" s="508"/>
      <c r="FB24" s="508"/>
      <c r="FC24" s="508"/>
      <c r="FD24" s="508"/>
      <c r="FE24" s="508"/>
      <c r="FF24" s="508"/>
      <c r="FG24" s="508"/>
      <c r="FH24" s="508"/>
      <c r="FI24" s="508"/>
      <c r="FJ24" s="508"/>
      <c r="FK24" s="508"/>
      <c r="FL24" s="508"/>
      <c r="FM24" s="508"/>
      <c r="FN24" s="508"/>
      <c r="FO24" s="508"/>
      <c r="FP24" s="508"/>
      <c r="FQ24" s="508"/>
      <c r="FR24" s="508"/>
      <c r="FS24" s="508"/>
      <c r="FT24" s="508"/>
      <c r="FU24" s="508"/>
      <c r="FV24" s="508"/>
      <c r="FW24" s="508"/>
      <c r="FX24" s="508"/>
      <c r="FY24" s="508"/>
      <c r="FZ24" s="508"/>
      <c r="GA24" s="508"/>
      <c r="GB24" s="508"/>
      <c r="GC24" s="508"/>
      <c r="GD24" s="508"/>
      <c r="GE24" s="508"/>
      <c r="GF24" s="508"/>
      <c r="GG24" s="508"/>
      <c r="GH24" s="508"/>
      <c r="GI24" s="508"/>
      <c r="GJ24" s="508"/>
      <c r="GK24" s="508"/>
      <c r="GL24" s="508"/>
      <c r="GM24" s="508"/>
      <c r="GN24" s="508"/>
      <c r="GO24" s="508"/>
      <c r="GP24" s="508"/>
      <c r="GQ24" s="508"/>
      <c r="GR24" s="508"/>
      <c r="GS24" s="508"/>
      <c r="GT24" s="508"/>
      <c r="GU24" s="508"/>
      <c r="GV24" s="508"/>
      <c r="GW24" s="508"/>
      <c r="GX24" s="508"/>
      <c r="GY24" s="508"/>
      <c r="GZ24" s="508"/>
      <c r="HA24" s="508"/>
      <c r="HB24" s="508"/>
      <c r="HC24" s="508"/>
      <c r="HD24" s="508"/>
      <c r="HE24" s="508"/>
      <c r="HF24" s="508"/>
      <c r="HG24" s="508"/>
      <c r="HH24" s="508"/>
      <c r="HI24" s="508"/>
      <c r="HJ24" s="508"/>
      <c r="HK24" s="508"/>
      <c r="HL24" s="508"/>
      <c r="HM24" s="508"/>
      <c r="HN24" s="508"/>
      <c r="HO24" s="508"/>
      <c r="HP24" s="508"/>
      <c r="HQ24" s="508"/>
      <c r="HR24" s="508"/>
      <c r="HS24" s="508"/>
      <c r="HT24" s="508"/>
      <c r="HU24" s="508"/>
      <c r="HV24" s="508"/>
      <c r="HW24" s="508"/>
      <c r="HX24" s="508"/>
      <c r="HY24" s="508"/>
      <c r="HZ24" s="508"/>
      <c r="IA24" s="508"/>
      <c r="IB24" s="508"/>
      <c r="IC24" s="508"/>
      <c r="ID24" s="508"/>
      <c r="IE24" s="508"/>
      <c r="IF24" s="508"/>
      <c r="IG24" s="508"/>
      <c r="IH24" s="508"/>
      <c r="II24" s="508"/>
      <c r="IJ24" s="508"/>
      <c r="IK24" s="508"/>
      <c r="IL24" s="508"/>
      <c r="IM24" s="508"/>
      <c r="IN24" s="508"/>
      <c r="IO24" s="508"/>
      <c r="IP24" s="508"/>
      <c r="IQ24" s="508"/>
      <c r="IR24" s="508"/>
      <c r="IS24" s="508"/>
      <c r="IT24" s="508"/>
      <c r="IU24" s="508"/>
      <c r="IV24" s="508"/>
    </row>
    <row r="25" spans="1:256" ht="13.5" customHeight="1">
      <c r="A25" s="530">
        <v>8</v>
      </c>
      <c r="B25" s="34" t="s">
        <v>96</v>
      </c>
      <c r="C25" s="34">
        <v>131251202</v>
      </c>
      <c r="D25" s="34" t="s">
        <v>703</v>
      </c>
      <c r="E25" s="34" t="s">
        <v>98</v>
      </c>
      <c r="F25" s="534">
        <f>SUM(F27:F28)</f>
        <v>27.869915351407208</v>
      </c>
      <c r="G25" s="79"/>
      <c r="H25" s="532">
        <f>F25*G25</f>
        <v>0</v>
      </c>
      <c r="I25" s="533" t="s">
        <v>738</v>
      </c>
    </row>
    <row r="26" spans="1:256" ht="13.5" customHeight="1">
      <c r="A26" s="530"/>
      <c r="B26" s="34"/>
      <c r="C26" s="36"/>
      <c r="D26" s="36" t="s">
        <v>705</v>
      </c>
      <c r="E26" s="36"/>
      <c r="F26" s="505"/>
      <c r="G26" s="553"/>
      <c r="H26" s="553"/>
      <c r="I26" s="533"/>
      <c r="J26" s="745"/>
    </row>
    <row r="27" spans="1:256" ht="13.5" customHeight="1">
      <c r="A27" s="530"/>
      <c r="B27" s="34"/>
      <c r="C27" s="36"/>
      <c r="D27" s="36" t="s">
        <v>701</v>
      </c>
      <c r="E27" s="36"/>
      <c r="F27" s="548">
        <f>(((3.24*3.24)*3)*0.5)*2</f>
        <v>31.492800000000006</v>
      </c>
      <c r="G27" s="553"/>
      <c r="H27" s="553"/>
      <c r="I27" s="533"/>
    </row>
    <row r="28" spans="1:256" ht="13.5" customHeight="1">
      <c r="A28" s="530"/>
      <c r="B28" s="34"/>
      <c r="C28" s="36"/>
      <c r="D28" s="36" t="s">
        <v>702</v>
      </c>
      <c r="E28" s="36"/>
      <c r="F28" s="548">
        <f>((-((3.141592654*0.62*0.62)*3))*0.5)*2</f>
        <v>-3.6228846485927999</v>
      </c>
      <c r="G28" s="553"/>
      <c r="H28" s="553"/>
      <c r="I28" s="533"/>
    </row>
    <row r="29" spans="1:256" s="541" customFormat="1" ht="40.5" customHeight="1">
      <c r="A29" s="535"/>
      <c r="B29" s="537"/>
      <c r="C29" s="537"/>
      <c r="D29" s="558" t="s">
        <v>572</v>
      </c>
      <c r="E29" s="537"/>
      <c r="F29" s="543"/>
      <c r="G29" s="544"/>
      <c r="H29" s="539"/>
      <c r="I29" s="545"/>
      <c r="J29" s="546"/>
      <c r="K29" s="452"/>
      <c r="L29" s="452"/>
      <c r="M29" s="452"/>
      <c r="N29" s="452"/>
      <c r="O29" s="452"/>
      <c r="P29" s="452"/>
      <c r="Q29" s="452"/>
      <c r="R29" s="452"/>
      <c r="S29" s="452"/>
      <c r="T29" s="452"/>
      <c r="U29" s="452"/>
      <c r="V29" s="452"/>
      <c r="W29" s="452"/>
      <c r="X29" s="452"/>
      <c r="Y29" s="452"/>
      <c r="Z29" s="452"/>
      <c r="AA29" s="452"/>
      <c r="AB29" s="452"/>
      <c r="AC29" s="452"/>
      <c r="AD29" s="452"/>
      <c r="AE29" s="452"/>
      <c r="AF29" s="452"/>
      <c r="AG29" s="452"/>
      <c r="AH29" s="452"/>
      <c r="AI29" s="452"/>
      <c r="AJ29" s="452"/>
      <c r="AK29" s="452"/>
      <c r="AL29" s="452"/>
      <c r="AM29" s="452"/>
      <c r="AN29" s="452"/>
      <c r="AO29" s="452"/>
    </row>
    <row r="30" spans="1:256" ht="13.5" customHeight="1">
      <c r="A30" s="530">
        <v>9</v>
      </c>
      <c r="B30" s="34" t="s">
        <v>96</v>
      </c>
      <c r="C30" s="34">
        <v>131351202</v>
      </c>
      <c r="D30" s="34" t="s">
        <v>704</v>
      </c>
      <c r="E30" s="34" t="s">
        <v>98</v>
      </c>
      <c r="F30" s="534">
        <f>SUM(F32:F33)</f>
        <v>22.295932281125769</v>
      </c>
      <c r="G30" s="79"/>
      <c r="H30" s="532">
        <f>F30*G30</f>
        <v>0</v>
      </c>
      <c r="I30" s="533" t="s">
        <v>738</v>
      </c>
    </row>
    <row r="31" spans="1:256" ht="13.5" customHeight="1">
      <c r="A31" s="530"/>
      <c r="B31" s="34"/>
      <c r="C31" s="36"/>
      <c r="D31" s="36" t="s">
        <v>708</v>
      </c>
      <c r="E31" s="36"/>
      <c r="F31" s="505"/>
      <c r="G31" s="553"/>
      <c r="H31" s="553"/>
      <c r="I31" s="533"/>
    </row>
    <row r="32" spans="1:256" ht="13.5" customHeight="1">
      <c r="A32" s="530"/>
      <c r="B32" s="34"/>
      <c r="C32" s="36"/>
      <c r="D32" s="36" t="s">
        <v>706</v>
      </c>
      <c r="E32" s="36"/>
      <c r="F32" s="548">
        <f>(((3.24*3.24)*3)*0.4)*2</f>
        <v>25.194240000000008</v>
      </c>
      <c r="G32" s="553"/>
      <c r="H32" s="553"/>
      <c r="I32" s="533"/>
    </row>
    <row r="33" spans="1:41" ht="13.5" customHeight="1">
      <c r="A33" s="530"/>
      <c r="B33" s="34"/>
      <c r="C33" s="36"/>
      <c r="D33" s="36" t="s">
        <v>707</v>
      </c>
      <c r="E33" s="36"/>
      <c r="F33" s="548">
        <f>((-((3.141592654*0.62*0.62)*3))*0.4)*2</f>
        <v>-2.8983077188742401</v>
      </c>
      <c r="G33" s="553"/>
      <c r="H33" s="553"/>
      <c r="I33" s="533"/>
    </row>
    <row r="34" spans="1:41" s="541" customFormat="1" ht="40.5" customHeight="1">
      <c r="A34" s="535"/>
      <c r="B34" s="537"/>
      <c r="C34" s="537"/>
      <c r="D34" s="558" t="s">
        <v>572</v>
      </c>
      <c r="E34" s="537"/>
      <c r="F34" s="543"/>
      <c r="G34" s="544"/>
      <c r="H34" s="539"/>
      <c r="I34" s="545"/>
      <c r="J34" s="746"/>
      <c r="K34" s="452"/>
      <c r="L34" s="452"/>
      <c r="M34" s="452"/>
      <c r="N34" s="452"/>
      <c r="O34" s="452"/>
      <c r="P34" s="452"/>
      <c r="Q34" s="452"/>
      <c r="R34" s="452"/>
      <c r="S34" s="452"/>
      <c r="T34" s="452"/>
      <c r="U34" s="452"/>
      <c r="V34" s="452"/>
      <c r="W34" s="452"/>
      <c r="X34" s="452"/>
      <c r="Y34" s="452"/>
      <c r="Z34" s="452"/>
      <c r="AA34" s="452"/>
      <c r="AB34" s="452"/>
      <c r="AC34" s="452"/>
      <c r="AD34" s="452"/>
      <c r="AE34" s="452"/>
      <c r="AF34" s="452"/>
      <c r="AG34" s="452"/>
      <c r="AH34" s="452"/>
      <c r="AI34" s="452"/>
      <c r="AJ34" s="452"/>
      <c r="AK34" s="452"/>
      <c r="AL34" s="452"/>
      <c r="AM34" s="452"/>
      <c r="AN34" s="452"/>
      <c r="AO34" s="452"/>
    </row>
    <row r="35" spans="1:41" ht="13.5" customHeight="1">
      <c r="A35" s="530">
        <v>10</v>
      </c>
      <c r="B35" s="34" t="s">
        <v>96</v>
      </c>
      <c r="C35" s="34">
        <v>131451201</v>
      </c>
      <c r="D35" s="34" t="s">
        <v>689</v>
      </c>
      <c r="E35" s="34" t="s">
        <v>98</v>
      </c>
      <c r="F35" s="534">
        <f>SUM(F37:F38)</f>
        <v>5.5739830702814421</v>
      </c>
      <c r="G35" s="79"/>
      <c r="H35" s="532">
        <f>F35*G35</f>
        <v>0</v>
      </c>
      <c r="I35" s="533" t="s">
        <v>738</v>
      </c>
    </row>
    <row r="36" spans="1:41" ht="13.5" customHeight="1">
      <c r="A36" s="530"/>
      <c r="B36" s="34"/>
      <c r="C36" s="36"/>
      <c r="D36" s="36" t="s">
        <v>709</v>
      </c>
      <c r="E36" s="36"/>
      <c r="F36" s="505"/>
      <c r="G36" s="553"/>
      <c r="H36" s="553"/>
      <c r="I36" s="533"/>
    </row>
    <row r="37" spans="1:41" ht="13.5" customHeight="1">
      <c r="A37" s="530"/>
      <c r="B37" s="34"/>
      <c r="C37" s="36"/>
      <c r="D37" s="36" t="s">
        <v>710</v>
      </c>
      <c r="E37" s="36"/>
      <c r="F37" s="548">
        <f>(((3.24*3.24)*3)*0.1)*2</f>
        <v>6.2985600000000019</v>
      </c>
      <c r="G37" s="553"/>
      <c r="H37" s="553"/>
      <c r="I37" s="533"/>
    </row>
    <row r="38" spans="1:41" ht="13.5" customHeight="1">
      <c r="A38" s="530"/>
      <c r="B38" s="34"/>
      <c r="C38" s="36"/>
      <c r="D38" s="36" t="s">
        <v>711</v>
      </c>
      <c r="E38" s="36"/>
      <c r="F38" s="548">
        <f>((-((3.141592654*0.62*0.62)*3))*0.1)*2</f>
        <v>-0.72457692971856003</v>
      </c>
      <c r="G38" s="553"/>
      <c r="H38" s="553"/>
      <c r="I38" s="533"/>
    </row>
    <row r="39" spans="1:41" s="541" customFormat="1" ht="40.5" customHeight="1">
      <c r="A39" s="535"/>
      <c r="B39" s="537"/>
      <c r="C39" s="537"/>
      <c r="D39" s="558" t="s">
        <v>572</v>
      </c>
      <c r="E39" s="537"/>
      <c r="F39" s="543"/>
      <c r="G39" s="544"/>
      <c r="H39" s="539"/>
      <c r="I39" s="545"/>
      <c r="J39" s="746"/>
      <c r="K39" s="452"/>
      <c r="L39" s="452"/>
      <c r="M39" s="452"/>
      <c r="N39" s="452"/>
      <c r="O39" s="452"/>
      <c r="P39" s="452"/>
      <c r="Q39" s="452"/>
      <c r="R39" s="452"/>
      <c r="S39" s="452"/>
      <c r="T39" s="452"/>
      <c r="U39" s="452"/>
      <c r="V39" s="452"/>
      <c r="W39" s="452"/>
      <c r="X39" s="452"/>
      <c r="Y39" s="452"/>
      <c r="Z39" s="452"/>
      <c r="AA39" s="452"/>
      <c r="AB39" s="452"/>
      <c r="AC39" s="452"/>
      <c r="AD39" s="452"/>
      <c r="AE39" s="452"/>
      <c r="AF39" s="452"/>
      <c r="AG39" s="452"/>
      <c r="AH39" s="452"/>
      <c r="AI39" s="452"/>
      <c r="AJ39" s="452"/>
      <c r="AK39" s="452"/>
      <c r="AL39" s="452"/>
      <c r="AM39" s="452"/>
      <c r="AN39" s="452"/>
      <c r="AO39" s="452"/>
    </row>
    <row r="40" spans="1:41" ht="27" customHeight="1">
      <c r="A40" s="530">
        <v>11</v>
      </c>
      <c r="B40" s="34" t="s">
        <v>96</v>
      </c>
      <c r="C40" s="34">
        <v>132254102</v>
      </c>
      <c r="D40" s="34" t="s">
        <v>444</v>
      </c>
      <c r="E40" s="34" t="s">
        <v>122</v>
      </c>
      <c r="F40" s="534">
        <f>SUM(F42:F45)</f>
        <v>42.72</v>
      </c>
      <c r="G40" s="79"/>
      <c r="H40" s="532">
        <f t="shared" ref="H40" si="1">F40*G40</f>
        <v>0</v>
      </c>
      <c r="I40" s="533" t="s">
        <v>738</v>
      </c>
      <c r="J40" s="552"/>
    </row>
    <row r="41" spans="1:41" ht="13.5" customHeight="1">
      <c r="A41" s="530"/>
      <c r="B41" s="34"/>
      <c r="C41" s="36"/>
      <c r="D41" s="36" t="s">
        <v>549</v>
      </c>
      <c r="E41" s="36"/>
      <c r="F41" s="548"/>
      <c r="G41" s="553"/>
      <c r="H41" s="553"/>
      <c r="I41" s="533"/>
      <c r="J41" s="554"/>
    </row>
    <row r="42" spans="1:41" ht="13.5" customHeight="1">
      <c r="A42" s="530"/>
      <c r="B42" s="34"/>
      <c r="C42" s="36"/>
      <c r="D42" s="36" t="s">
        <v>766</v>
      </c>
      <c r="E42" s="36"/>
      <c r="F42" s="548">
        <f>(7.8+6.2)*0.8*1.5</f>
        <v>16.8</v>
      </c>
      <c r="G42" s="553"/>
      <c r="H42" s="553"/>
      <c r="I42" s="533"/>
      <c r="J42" s="554"/>
    </row>
    <row r="43" spans="1:41" ht="13.5" customHeight="1">
      <c r="A43" s="530"/>
      <c r="B43" s="34"/>
      <c r="C43" s="36"/>
      <c r="D43" s="36" t="s">
        <v>550</v>
      </c>
      <c r="E43" s="36"/>
      <c r="F43" s="548"/>
      <c r="G43" s="553"/>
      <c r="H43" s="553"/>
      <c r="I43" s="533"/>
      <c r="J43" s="554"/>
    </row>
    <row r="44" spans="1:41" ht="13.5" customHeight="1">
      <c r="A44" s="530"/>
      <c r="B44" s="34"/>
      <c r="C44" s="36"/>
      <c r="D44" s="36" t="s">
        <v>551</v>
      </c>
      <c r="E44" s="36"/>
      <c r="F44" s="548">
        <f>(9.6)*0.8*1.2</f>
        <v>9.2159999999999993</v>
      </c>
      <c r="G44" s="553"/>
      <c r="H44" s="553"/>
      <c r="I44" s="533"/>
      <c r="J44" s="554"/>
    </row>
    <row r="45" spans="1:41" ht="13.5" customHeight="1">
      <c r="A45" s="530"/>
      <c r="B45" s="34"/>
      <c r="C45" s="36"/>
      <c r="D45" s="36" t="s">
        <v>552</v>
      </c>
      <c r="E45" s="36"/>
      <c r="F45" s="548">
        <f>(27-9.6)*0.8*1.2</f>
        <v>16.704000000000001</v>
      </c>
      <c r="G45" s="553"/>
      <c r="H45" s="553"/>
      <c r="I45" s="533"/>
      <c r="J45" s="747"/>
    </row>
    <row r="46" spans="1:41" s="563" customFormat="1" ht="40.5" customHeight="1">
      <c r="A46" s="555"/>
      <c r="B46" s="556"/>
      <c r="C46" s="557"/>
      <c r="D46" s="558" t="s">
        <v>572</v>
      </c>
      <c r="E46" s="557"/>
      <c r="F46" s="559"/>
      <c r="G46" s="560"/>
      <c r="H46" s="560"/>
      <c r="I46" s="561"/>
      <c r="J46" s="373"/>
      <c r="K46" s="562"/>
      <c r="L46" s="373"/>
      <c r="M46" s="373"/>
      <c r="N46" s="373"/>
      <c r="O46" s="373"/>
      <c r="P46" s="373"/>
      <c r="Q46" s="373"/>
      <c r="R46" s="373"/>
      <c r="S46" s="373"/>
      <c r="T46" s="373"/>
      <c r="U46" s="373"/>
      <c r="V46" s="373"/>
      <c r="W46" s="373"/>
      <c r="X46" s="373"/>
      <c r="Y46" s="373"/>
      <c r="Z46" s="373"/>
      <c r="AA46" s="373"/>
      <c r="AB46" s="373"/>
      <c r="AC46" s="373"/>
      <c r="AD46" s="373"/>
      <c r="AE46" s="373"/>
      <c r="AF46" s="373"/>
      <c r="AG46" s="373"/>
      <c r="AH46" s="373"/>
      <c r="AI46" s="373"/>
      <c r="AJ46" s="373"/>
      <c r="AK46" s="373"/>
      <c r="AL46" s="373"/>
      <c r="AM46" s="373"/>
      <c r="AN46" s="373"/>
      <c r="AO46" s="373"/>
    </row>
    <row r="47" spans="1:41" ht="13.5" customHeight="1">
      <c r="A47" s="530">
        <v>12</v>
      </c>
      <c r="B47" s="34" t="s">
        <v>96</v>
      </c>
      <c r="C47" s="34">
        <v>139001101</v>
      </c>
      <c r="D47" s="34" t="s">
        <v>160</v>
      </c>
      <c r="E47" s="34" t="s">
        <v>122</v>
      </c>
      <c r="F47" s="534">
        <f>F48</f>
        <v>9.8460000000000019</v>
      </c>
      <c r="G47" s="79"/>
      <c r="H47" s="532">
        <f>F47*G47</f>
        <v>0</v>
      </c>
      <c r="I47" s="533" t="s">
        <v>738</v>
      </c>
    </row>
    <row r="48" spans="1:41" ht="13.5" customHeight="1">
      <c r="A48" s="530"/>
      <c r="B48" s="34"/>
      <c r="C48" s="36"/>
      <c r="D48" s="36" t="s">
        <v>767</v>
      </c>
      <c r="E48" s="36"/>
      <c r="F48" s="548">
        <f>((27.87+22.3+5.57)+(42.72))*0.1</f>
        <v>9.8460000000000019</v>
      </c>
      <c r="G48" s="553"/>
      <c r="H48" s="553"/>
      <c r="I48" s="533"/>
    </row>
    <row r="49" spans="1:256" ht="13.5" customHeight="1">
      <c r="A49" s="530">
        <v>13</v>
      </c>
      <c r="B49" s="34" t="s">
        <v>96</v>
      </c>
      <c r="C49" s="34">
        <v>151101101</v>
      </c>
      <c r="D49" s="34" t="s">
        <v>169</v>
      </c>
      <c r="E49" s="34" t="s">
        <v>98</v>
      </c>
      <c r="F49" s="534">
        <f>SUM(F51:F52)</f>
        <v>53.4</v>
      </c>
      <c r="G49" s="79"/>
      <c r="H49" s="532">
        <f>F49*G49</f>
        <v>0</v>
      </c>
      <c r="I49" s="533" t="s">
        <v>738</v>
      </c>
    </row>
    <row r="50" spans="1:256" ht="13.5" customHeight="1">
      <c r="A50" s="530"/>
      <c r="B50" s="34"/>
      <c r="C50" s="36"/>
      <c r="D50" s="36" t="s">
        <v>553</v>
      </c>
      <c r="E50" s="36"/>
      <c r="F50" s="505"/>
      <c r="G50" s="553"/>
      <c r="H50" s="553"/>
      <c r="I50" s="533"/>
    </row>
    <row r="51" spans="1:256" ht="13.5" customHeight="1">
      <c r="A51" s="530"/>
      <c r="B51" s="34"/>
      <c r="C51" s="36"/>
      <c r="D51" s="36" t="s">
        <v>768</v>
      </c>
      <c r="E51" s="36"/>
      <c r="F51" s="548">
        <f>(((7.8+6.2)*1.5)*2)*0.5</f>
        <v>21</v>
      </c>
      <c r="G51" s="553"/>
      <c r="H51" s="553"/>
      <c r="I51" s="533"/>
    </row>
    <row r="52" spans="1:256" ht="13.5" customHeight="1">
      <c r="A52" s="530"/>
      <c r="B52" s="34"/>
      <c r="C52" s="36"/>
      <c r="D52" s="36" t="s">
        <v>554</v>
      </c>
      <c r="E52" s="36"/>
      <c r="F52" s="548">
        <f>((27*1.2)*2)*0.5</f>
        <v>32.4</v>
      </c>
      <c r="G52" s="553"/>
      <c r="H52" s="553"/>
      <c r="I52" s="533"/>
    </row>
    <row r="53" spans="1:256" ht="13.5" customHeight="1">
      <c r="A53" s="530">
        <v>14</v>
      </c>
      <c r="B53" s="34" t="s">
        <v>96</v>
      </c>
      <c r="C53" s="34">
        <v>151101111</v>
      </c>
      <c r="D53" s="34" t="s">
        <v>170</v>
      </c>
      <c r="E53" s="34" t="s">
        <v>98</v>
      </c>
      <c r="F53" s="534">
        <f>F49</f>
        <v>53.4</v>
      </c>
      <c r="G53" s="79"/>
      <c r="H53" s="532">
        <f>F53*G53</f>
        <v>0</v>
      </c>
      <c r="I53" s="533" t="s">
        <v>738</v>
      </c>
    </row>
    <row r="54" spans="1:256" ht="13.5" customHeight="1">
      <c r="A54" s="748">
        <v>15</v>
      </c>
      <c r="B54" s="749" t="s">
        <v>96</v>
      </c>
      <c r="C54" s="749">
        <v>151101201</v>
      </c>
      <c r="D54" s="749" t="s">
        <v>690</v>
      </c>
      <c r="E54" s="749" t="s">
        <v>98</v>
      </c>
      <c r="F54" s="750">
        <f>SUM(F56)</f>
        <v>62.208000000000006</v>
      </c>
      <c r="G54" s="810"/>
      <c r="H54" s="751">
        <f>F54*G54</f>
        <v>0</v>
      </c>
      <c r="I54" s="533" t="s">
        <v>738</v>
      </c>
      <c r="J54" s="752"/>
      <c r="K54" s="753"/>
      <c r="L54" s="753"/>
      <c r="M54" s="753"/>
      <c r="N54" s="753"/>
      <c r="O54" s="753"/>
      <c r="P54" s="753"/>
      <c r="Q54" s="753"/>
      <c r="R54" s="753"/>
      <c r="S54" s="753"/>
      <c r="T54" s="753"/>
      <c r="U54" s="753"/>
      <c r="V54" s="753"/>
      <c r="W54" s="753"/>
      <c r="X54" s="753"/>
      <c r="Y54" s="753"/>
      <c r="Z54" s="753"/>
      <c r="AA54" s="753"/>
      <c r="AB54" s="753"/>
      <c r="AC54" s="753"/>
      <c r="AD54" s="753"/>
      <c r="AE54" s="753"/>
      <c r="AF54" s="753"/>
      <c r="AG54" s="753"/>
      <c r="AH54" s="753"/>
      <c r="AI54" s="753"/>
      <c r="AJ54" s="753"/>
      <c r="AK54" s="753"/>
      <c r="AL54" s="753"/>
      <c r="AM54" s="753"/>
      <c r="AN54" s="753"/>
      <c r="AO54" s="753"/>
      <c r="AP54" s="754"/>
      <c r="AQ54" s="754"/>
      <c r="AR54" s="754"/>
      <c r="AS54" s="754"/>
      <c r="AT54" s="754"/>
      <c r="AU54" s="754"/>
      <c r="AV54" s="754"/>
      <c r="AW54" s="754"/>
      <c r="AX54" s="754"/>
      <c r="AY54" s="754"/>
      <c r="AZ54" s="754"/>
      <c r="BA54" s="754"/>
      <c r="BB54" s="754"/>
      <c r="BC54" s="754"/>
      <c r="BD54" s="754"/>
      <c r="BE54" s="754"/>
      <c r="BF54" s="754"/>
      <c r="BG54" s="754"/>
      <c r="BH54" s="754"/>
      <c r="BI54" s="754"/>
      <c r="BJ54" s="754"/>
      <c r="BK54" s="754"/>
      <c r="BL54" s="754"/>
      <c r="BM54" s="754"/>
      <c r="BN54" s="754"/>
      <c r="BO54" s="754"/>
      <c r="BP54" s="754"/>
      <c r="BQ54" s="754"/>
      <c r="BR54" s="754"/>
      <c r="BS54" s="754"/>
      <c r="BT54" s="754"/>
      <c r="BU54" s="754"/>
      <c r="BV54" s="754"/>
      <c r="BW54" s="754"/>
      <c r="BX54" s="754"/>
      <c r="BY54" s="754"/>
      <c r="BZ54" s="754"/>
      <c r="CA54" s="754"/>
      <c r="CB54" s="754"/>
      <c r="CC54" s="754"/>
      <c r="CD54" s="754"/>
      <c r="CE54" s="754"/>
      <c r="CF54" s="754"/>
      <c r="CG54" s="754"/>
      <c r="CH54" s="754"/>
      <c r="CI54" s="754"/>
      <c r="CJ54" s="754"/>
      <c r="CK54" s="754"/>
      <c r="CL54" s="754"/>
      <c r="CM54" s="754"/>
      <c r="CN54" s="754"/>
      <c r="CO54" s="754"/>
      <c r="CP54" s="754"/>
      <c r="CQ54" s="754"/>
      <c r="CR54" s="754"/>
      <c r="CS54" s="754"/>
      <c r="CT54" s="754"/>
      <c r="CU54" s="754"/>
      <c r="CV54" s="754"/>
      <c r="CW54" s="754"/>
      <c r="CX54" s="754"/>
      <c r="CY54" s="754"/>
      <c r="CZ54" s="754"/>
      <c r="DA54" s="754"/>
      <c r="DB54" s="754"/>
      <c r="DC54" s="754"/>
      <c r="DD54" s="754"/>
      <c r="DE54" s="754"/>
      <c r="DF54" s="754"/>
      <c r="DG54" s="754"/>
      <c r="DH54" s="754"/>
      <c r="DI54" s="754"/>
      <c r="DJ54" s="754"/>
      <c r="DK54" s="754"/>
      <c r="DL54" s="754"/>
      <c r="DM54" s="754"/>
      <c r="DN54" s="754"/>
      <c r="DO54" s="754"/>
      <c r="DP54" s="754"/>
      <c r="DQ54" s="754"/>
      <c r="DR54" s="754"/>
      <c r="DS54" s="754"/>
      <c r="DT54" s="754"/>
      <c r="DU54" s="754"/>
      <c r="DV54" s="754"/>
      <c r="DW54" s="754"/>
      <c r="DX54" s="754"/>
      <c r="DY54" s="754"/>
      <c r="DZ54" s="754"/>
      <c r="EA54" s="754"/>
      <c r="EB54" s="754"/>
      <c r="EC54" s="754"/>
      <c r="ED54" s="754"/>
      <c r="EE54" s="754"/>
      <c r="EF54" s="754"/>
      <c r="EG54" s="754"/>
      <c r="EH54" s="754"/>
      <c r="EI54" s="754"/>
      <c r="EJ54" s="754"/>
      <c r="EK54" s="754"/>
      <c r="EL54" s="754"/>
      <c r="EM54" s="754"/>
      <c r="EN54" s="754"/>
      <c r="EO54" s="754"/>
      <c r="EP54" s="754"/>
      <c r="EQ54" s="754"/>
      <c r="ER54" s="754"/>
      <c r="ES54" s="754"/>
      <c r="ET54" s="754"/>
      <c r="EU54" s="754"/>
      <c r="EV54" s="754"/>
      <c r="EW54" s="754"/>
      <c r="EX54" s="754"/>
      <c r="EY54" s="754"/>
      <c r="EZ54" s="754"/>
      <c r="FA54" s="754"/>
      <c r="FB54" s="754"/>
      <c r="FC54" s="754"/>
      <c r="FD54" s="754"/>
      <c r="FE54" s="754"/>
      <c r="FF54" s="754"/>
      <c r="FG54" s="754"/>
      <c r="FH54" s="754"/>
      <c r="FI54" s="754"/>
      <c r="FJ54" s="754"/>
      <c r="FK54" s="754"/>
      <c r="FL54" s="754"/>
      <c r="FM54" s="754"/>
      <c r="FN54" s="754"/>
      <c r="FO54" s="754"/>
      <c r="FP54" s="754"/>
      <c r="FQ54" s="754"/>
      <c r="FR54" s="754"/>
      <c r="FS54" s="754"/>
      <c r="FT54" s="754"/>
      <c r="FU54" s="754"/>
      <c r="FV54" s="754"/>
      <c r="FW54" s="754"/>
      <c r="FX54" s="754"/>
      <c r="FY54" s="754"/>
      <c r="FZ54" s="754"/>
      <c r="GA54" s="754"/>
      <c r="GB54" s="754"/>
      <c r="GC54" s="754"/>
      <c r="GD54" s="754"/>
      <c r="GE54" s="754"/>
      <c r="GF54" s="754"/>
      <c r="GG54" s="754"/>
      <c r="GH54" s="754"/>
      <c r="GI54" s="754"/>
      <c r="GJ54" s="754"/>
      <c r="GK54" s="754"/>
      <c r="GL54" s="754"/>
      <c r="GM54" s="754"/>
      <c r="GN54" s="754"/>
      <c r="GO54" s="754"/>
      <c r="GP54" s="754"/>
      <c r="GQ54" s="754"/>
      <c r="GR54" s="754"/>
      <c r="GS54" s="754"/>
      <c r="GT54" s="754"/>
      <c r="GU54" s="754"/>
      <c r="GV54" s="754"/>
      <c r="GW54" s="754"/>
      <c r="GX54" s="754"/>
      <c r="GY54" s="754"/>
      <c r="GZ54" s="754"/>
      <c r="HA54" s="754"/>
      <c r="HB54" s="754"/>
      <c r="HC54" s="754"/>
      <c r="HD54" s="754"/>
      <c r="HE54" s="754"/>
      <c r="HF54" s="754"/>
      <c r="HG54" s="754"/>
      <c r="HH54" s="754"/>
      <c r="HI54" s="754"/>
      <c r="HJ54" s="754"/>
      <c r="HK54" s="754"/>
      <c r="HL54" s="754"/>
      <c r="HM54" s="754"/>
      <c r="HN54" s="754"/>
      <c r="HO54" s="754"/>
      <c r="HP54" s="754"/>
      <c r="HQ54" s="754"/>
      <c r="HR54" s="754"/>
      <c r="HS54" s="754"/>
      <c r="HT54" s="754"/>
      <c r="HU54" s="754"/>
      <c r="HV54" s="754"/>
      <c r="HW54" s="754"/>
      <c r="HX54" s="754"/>
      <c r="HY54" s="754"/>
      <c r="HZ54" s="754"/>
      <c r="IA54" s="754"/>
      <c r="IB54" s="754"/>
      <c r="IC54" s="754"/>
      <c r="ID54" s="754"/>
      <c r="IE54" s="754"/>
      <c r="IF54" s="754"/>
      <c r="IG54" s="754"/>
      <c r="IH54" s="754"/>
      <c r="II54" s="754"/>
      <c r="IJ54" s="754"/>
      <c r="IK54" s="754"/>
      <c r="IL54" s="754"/>
      <c r="IM54" s="754"/>
      <c r="IN54" s="754"/>
      <c r="IO54" s="754"/>
      <c r="IP54" s="754"/>
      <c r="IQ54" s="754"/>
      <c r="IR54" s="754"/>
      <c r="IS54" s="754"/>
      <c r="IT54" s="754"/>
      <c r="IU54" s="754"/>
      <c r="IV54" s="754"/>
    </row>
    <row r="55" spans="1:256" ht="13.5" customHeight="1">
      <c r="A55" s="748"/>
      <c r="B55" s="749"/>
      <c r="C55" s="755"/>
      <c r="D55" s="756" t="s">
        <v>712</v>
      </c>
      <c r="E55" s="749"/>
      <c r="F55" s="750"/>
      <c r="G55" s="751"/>
      <c r="H55" s="751"/>
      <c r="I55" s="757"/>
      <c r="J55" s="753"/>
      <c r="K55" s="753"/>
      <c r="L55" s="753"/>
      <c r="M55" s="753"/>
      <c r="N55" s="753"/>
      <c r="O55" s="753"/>
      <c r="P55" s="753"/>
      <c r="Q55" s="753"/>
      <c r="R55" s="753"/>
      <c r="S55" s="753"/>
      <c r="T55" s="753"/>
      <c r="U55" s="753"/>
      <c r="V55" s="753"/>
      <c r="W55" s="753"/>
      <c r="X55" s="753"/>
      <c r="Y55" s="753"/>
      <c r="Z55" s="753"/>
      <c r="AA55" s="753"/>
      <c r="AB55" s="753"/>
      <c r="AC55" s="753"/>
      <c r="AD55" s="753"/>
      <c r="AE55" s="753"/>
      <c r="AF55" s="753"/>
      <c r="AG55" s="753"/>
      <c r="AH55" s="753"/>
      <c r="AI55" s="753"/>
      <c r="AJ55" s="753"/>
      <c r="AK55" s="753"/>
      <c r="AL55" s="753"/>
      <c r="AM55" s="753"/>
      <c r="AN55" s="753"/>
      <c r="AO55" s="753"/>
      <c r="AP55" s="754"/>
      <c r="AQ55" s="754"/>
      <c r="AR55" s="754"/>
      <c r="AS55" s="754"/>
      <c r="AT55" s="754"/>
      <c r="AU55" s="754"/>
      <c r="AV55" s="754"/>
      <c r="AW55" s="754"/>
      <c r="AX55" s="754"/>
      <c r="AY55" s="754"/>
      <c r="AZ55" s="754"/>
      <c r="BA55" s="754"/>
      <c r="BB55" s="754"/>
      <c r="BC55" s="754"/>
      <c r="BD55" s="754"/>
      <c r="BE55" s="754"/>
      <c r="BF55" s="754"/>
      <c r="BG55" s="754"/>
      <c r="BH55" s="754"/>
      <c r="BI55" s="754"/>
      <c r="BJ55" s="754"/>
      <c r="BK55" s="754"/>
      <c r="BL55" s="754"/>
      <c r="BM55" s="754"/>
      <c r="BN55" s="754"/>
      <c r="BO55" s="754"/>
      <c r="BP55" s="754"/>
      <c r="BQ55" s="754"/>
      <c r="BR55" s="754"/>
      <c r="BS55" s="754"/>
      <c r="BT55" s="754"/>
      <c r="BU55" s="754"/>
      <c r="BV55" s="754"/>
      <c r="BW55" s="754"/>
      <c r="BX55" s="754"/>
      <c r="BY55" s="754"/>
      <c r="BZ55" s="754"/>
      <c r="CA55" s="754"/>
      <c r="CB55" s="754"/>
      <c r="CC55" s="754"/>
      <c r="CD55" s="754"/>
      <c r="CE55" s="754"/>
      <c r="CF55" s="754"/>
      <c r="CG55" s="754"/>
      <c r="CH55" s="754"/>
      <c r="CI55" s="754"/>
      <c r="CJ55" s="754"/>
      <c r="CK55" s="754"/>
      <c r="CL55" s="754"/>
      <c r="CM55" s="754"/>
      <c r="CN55" s="754"/>
      <c r="CO55" s="754"/>
      <c r="CP55" s="754"/>
      <c r="CQ55" s="754"/>
      <c r="CR55" s="754"/>
      <c r="CS55" s="754"/>
      <c r="CT55" s="754"/>
      <c r="CU55" s="754"/>
      <c r="CV55" s="754"/>
      <c r="CW55" s="754"/>
      <c r="CX55" s="754"/>
      <c r="CY55" s="754"/>
      <c r="CZ55" s="754"/>
      <c r="DA55" s="754"/>
      <c r="DB55" s="754"/>
      <c r="DC55" s="754"/>
      <c r="DD55" s="754"/>
      <c r="DE55" s="754"/>
      <c r="DF55" s="754"/>
      <c r="DG55" s="754"/>
      <c r="DH55" s="754"/>
      <c r="DI55" s="754"/>
      <c r="DJ55" s="754"/>
      <c r="DK55" s="754"/>
      <c r="DL55" s="754"/>
      <c r="DM55" s="754"/>
      <c r="DN55" s="754"/>
      <c r="DO55" s="754"/>
      <c r="DP55" s="754"/>
      <c r="DQ55" s="754"/>
      <c r="DR55" s="754"/>
      <c r="DS55" s="754"/>
      <c r="DT55" s="754"/>
      <c r="DU55" s="754"/>
      <c r="DV55" s="754"/>
      <c r="DW55" s="754"/>
      <c r="DX55" s="754"/>
      <c r="DY55" s="754"/>
      <c r="DZ55" s="754"/>
      <c r="EA55" s="754"/>
      <c r="EB55" s="754"/>
      <c r="EC55" s="754"/>
      <c r="ED55" s="754"/>
      <c r="EE55" s="754"/>
      <c r="EF55" s="754"/>
      <c r="EG55" s="754"/>
      <c r="EH55" s="754"/>
      <c r="EI55" s="754"/>
      <c r="EJ55" s="754"/>
      <c r="EK55" s="754"/>
      <c r="EL55" s="754"/>
      <c r="EM55" s="754"/>
      <c r="EN55" s="754"/>
      <c r="EO55" s="754"/>
      <c r="EP55" s="754"/>
      <c r="EQ55" s="754"/>
      <c r="ER55" s="754"/>
      <c r="ES55" s="754"/>
      <c r="ET55" s="754"/>
      <c r="EU55" s="754"/>
      <c r="EV55" s="754"/>
      <c r="EW55" s="754"/>
      <c r="EX55" s="754"/>
      <c r="EY55" s="754"/>
      <c r="EZ55" s="754"/>
      <c r="FA55" s="754"/>
      <c r="FB55" s="754"/>
      <c r="FC55" s="754"/>
      <c r="FD55" s="754"/>
      <c r="FE55" s="754"/>
      <c r="FF55" s="754"/>
      <c r="FG55" s="754"/>
      <c r="FH55" s="754"/>
      <c r="FI55" s="754"/>
      <c r="FJ55" s="754"/>
      <c r="FK55" s="754"/>
      <c r="FL55" s="754"/>
      <c r="FM55" s="754"/>
      <c r="FN55" s="754"/>
      <c r="FO55" s="754"/>
      <c r="FP55" s="754"/>
      <c r="FQ55" s="754"/>
      <c r="FR55" s="754"/>
      <c r="FS55" s="754"/>
      <c r="FT55" s="754"/>
      <c r="FU55" s="754"/>
      <c r="FV55" s="754"/>
      <c r="FW55" s="754"/>
      <c r="FX55" s="754"/>
      <c r="FY55" s="754"/>
      <c r="FZ55" s="754"/>
      <c r="GA55" s="754"/>
      <c r="GB55" s="754"/>
      <c r="GC55" s="754"/>
      <c r="GD55" s="754"/>
      <c r="GE55" s="754"/>
      <c r="GF55" s="754"/>
      <c r="GG55" s="754"/>
      <c r="GH55" s="754"/>
      <c r="GI55" s="754"/>
      <c r="GJ55" s="754"/>
      <c r="GK55" s="754"/>
      <c r="GL55" s="754"/>
      <c r="GM55" s="754"/>
      <c r="GN55" s="754"/>
      <c r="GO55" s="754"/>
      <c r="GP55" s="754"/>
      <c r="GQ55" s="754"/>
      <c r="GR55" s="754"/>
      <c r="GS55" s="754"/>
      <c r="GT55" s="754"/>
      <c r="GU55" s="754"/>
      <c r="GV55" s="754"/>
      <c r="GW55" s="754"/>
      <c r="GX55" s="754"/>
      <c r="GY55" s="754"/>
      <c r="GZ55" s="754"/>
      <c r="HA55" s="754"/>
      <c r="HB55" s="754"/>
      <c r="HC55" s="754"/>
      <c r="HD55" s="754"/>
      <c r="HE55" s="754"/>
      <c r="HF55" s="754"/>
      <c r="HG55" s="754"/>
      <c r="HH55" s="754"/>
      <c r="HI55" s="754"/>
      <c r="HJ55" s="754"/>
      <c r="HK55" s="754"/>
      <c r="HL55" s="754"/>
      <c r="HM55" s="754"/>
      <c r="HN55" s="754"/>
      <c r="HO55" s="754"/>
      <c r="HP55" s="754"/>
      <c r="HQ55" s="754"/>
      <c r="HR55" s="754"/>
      <c r="HS55" s="754"/>
      <c r="HT55" s="754"/>
      <c r="HU55" s="754"/>
      <c r="HV55" s="754"/>
      <c r="HW55" s="754"/>
      <c r="HX55" s="754"/>
      <c r="HY55" s="754"/>
      <c r="HZ55" s="754"/>
      <c r="IA55" s="754"/>
      <c r="IB55" s="754"/>
      <c r="IC55" s="754"/>
      <c r="ID55" s="754"/>
      <c r="IE55" s="754"/>
      <c r="IF55" s="754"/>
      <c r="IG55" s="754"/>
      <c r="IH55" s="754"/>
      <c r="II55" s="754"/>
      <c r="IJ55" s="754"/>
      <c r="IK55" s="754"/>
      <c r="IL55" s="754"/>
      <c r="IM55" s="754"/>
      <c r="IN55" s="754"/>
      <c r="IO55" s="754"/>
      <c r="IP55" s="754"/>
      <c r="IQ55" s="754"/>
      <c r="IR55" s="754"/>
      <c r="IS55" s="754"/>
      <c r="IT55" s="754"/>
      <c r="IU55" s="754"/>
      <c r="IV55" s="754"/>
    </row>
    <row r="56" spans="1:256" ht="13.5" customHeight="1">
      <c r="A56" s="758"/>
      <c r="B56" s="758"/>
      <c r="C56" s="759"/>
      <c r="D56" s="756" t="s">
        <v>713</v>
      </c>
      <c r="E56" s="756"/>
      <c r="F56" s="760">
        <f>(((3.24*4)*3)*0.8)*2</f>
        <v>62.208000000000006</v>
      </c>
      <c r="G56" s="761"/>
      <c r="H56" s="761"/>
      <c r="I56" s="762"/>
      <c r="J56" s="753"/>
      <c r="K56" s="753"/>
      <c r="L56" s="753"/>
      <c r="M56" s="753"/>
      <c r="N56" s="753"/>
      <c r="O56" s="753"/>
      <c r="P56" s="753"/>
      <c r="Q56" s="753"/>
      <c r="R56" s="753"/>
      <c r="S56" s="753"/>
      <c r="T56" s="753"/>
      <c r="U56" s="753"/>
      <c r="V56" s="753"/>
      <c r="W56" s="753"/>
      <c r="X56" s="753"/>
      <c r="Y56" s="753"/>
      <c r="Z56" s="753"/>
      <c r="AA56" s="753"/>
      <c r="AB56" s="753"/>
      <c r="AC56" s="753"/>
      <c r="AD56" s="753"/>
      <c r="AE56" s="753"/>
      <c r="AF56" s="753"/>
      <c r="AG56" s="753"/>
      <c r="AH56" s="753"/>
      <c r="AI56" s="753"/>
      <c r="AJ56" s="753"/>
      <c r="AK56" s="753"/>
      <c r="AL56" s="753"/>
      <c r="AM56" s="753"/>
      <c r="AN56" s="753"/>
      <c r="AO56" s="753"/>
      <c r="AP56" s="754"/>
      <c r="AQ56" s="754"/>
      <c r="AR56" s="754"/>
      <c r="AS56" s="754"/>
      <c r="AT56" s="754"/>
      <c r="AU56" s="754"/>
      <c r="AV56" s="754"/>
      <c r="AW56" s="754"/>
      <c r="AX56" s="754"/>
      <c r="AY56" s="754"/>
      <c r="AZ56" s="754"/>
      <c r="BA56" s="754"/>
      <c r="BB56" s="754"/>
      <c r="BC56" s="754"/>
      <c r="BD56" s="754"/>
      <c r="BE56" s="754"/>
      <c r="BF56" s="754"/>
      <c r="BG56" s="754"/>
      <c r="BH56" s="754"/>
      <c r="BI56" s="754"/>
      <c r="BJ56" s="754"/>
      <c r="BK56" s="754"/>
      <c r="BL56" s="754"/>
      <c r="BM56" s="754"/>
      <c r="BN56" s="754"/>
      <c r="BO56" s="754"/>
      <c r="BP56" s="754"/>
      <c r="BQ56" s="754"/>
      <c r="BR56" s="754"/>
      <c r="BS56" s="754"/>
      <c r="BT56" s="754"/>
      <c r="BU56" s="754"/>
      <c r="BV56" s="754"/>
      <c r="BW56" s="754"/>
      <c r="BX56" s="754"/>
      <c r="BY56" s="754"/>
      <c r="BZ56" s="754"/>
      <c r="CA56" s="754"/>
      <c r="CB56" s="754"/>
      <c r="CC56" s="754"/>
      <c r="CD56" s="754"/>
      <c r="CE56" s="754"/>
      <c r="CF56" s="754"/>
      <c r="CG56" s="754"/>
      <c r="CH56" s="754"/>
      <c r="CI56" s="754"/>
      <c r="CJ56" s="754"/>
      <c r="CK56" s="754"/>
      <c r="CL56" s="754"/>
      <c r="CM56" s="754"/>
      <c r="CN56" s="754"/>
      <c r="CO56" s="754"/>
      <c r="CP56" s="754"/>
      <c r="CQ56" s="754"/>
      <c r="CR56" s="754"/>
      <c r="CS56" s="754"/>
      <c r="CT56" s="754"/>
      <c r="CU56" s="754"/>
      <c r="CV56" s="754"/>
      <c r="CW56" s="754"/>
      <c r="CX56" s="754"/>
      <c r="CY56" s="754"/>
      <c r="CZ56" s="754"/>
      <c r="DA56" s="754"/>
      <c r="DB56" s="754"/>
      <c r="DC56" s="754"/>
      <c r="DD56" s="754"/>
      <c r="DE56" s="754"/>
      <c r="DF56" s="754"/>
      <c r="DG56" s="754"/>
      <c r="DH56" s="754"/>
      <c r="DI56" s="754"/>
      <c r="DJ56" s="754"/>
      <c r="DK56" s="754"/>
      <c r="DL56" s="754"/>
      <c r="DM56" s="754"/>
      <c r="DN56" s="754"/>
      <c r="DO56" s="754"/>
      <c r="DP56" s="754"/>
      <c r="DQ56" s="754"/>
      <c r="DR56" s="754"/>
      <c r="DS56" s="754"/>
      <c r="DT56" s="754"/>
      <c r="DU56" s="754"/>
      <c r="DV56" s="754"/>
      <c r="DW56" s="754"/>
      <c r="DX56" s="754"/>
      <c r="DY56" s="754"/>
      <c r="DZ56" s="754"/>
      <c r="EA56" s="754"/>
      <c r="EB56" s="754"/>
      <c r="EC56" s="754"/>
      <c r="ED56" s="754"/>
      <c r="EE56" s="754"/>
      <c r="EF56" s="754"/>
      <c r="EG56" s="754"/>
      <c r="EH56" s="754"/>
      <c r="EI56" s="754"/>
      <c r="EJ56" s="754"/>
      <c r="EK56" s="754"/>
      <c r="EL56" s="754"/>
      <c r="EM56" s="754"/>
      <c r="EN56" s="754"/>
      <c r="EO56" s="754"/>
      <c r="EP56" s="754"/>
      <c r="EQ56" s="754"/>
      <c r="ER56" s="754"/>
      <c r="ES56" s="754"/>
      <c r="ET56" s="754"/>
      <c r="EU56" s="754"/>
      <c r="EV56" s="754"/>
      <c r="EW56" s="754"/>
      <c r="EX56" s="754"/>
      <c r="EY56" s="754"/>
      <c r="EZ56" s="754"/>
      <c r="FA56" s="754"/>
      <c r="FB56" s="754"/>
      <c r="FC56" s="754"/>
      <c r="FD56" s="754"/>
      <c r="FE56" s="754"/>
      <c r="FF56" s="754"/>
      <c r="FG56" s="754"/>
      <c r="FH56" s="754"/>
      <c r="FI56" s="754"/>
      <c r="FJ56" s="754"/>
      <c r="FK56" s="754"/>
      <c r="FL56" s="754"/>
      <c r="FM56" s="754"/>
      <c r="FN56" s="754"/>
      <c r="FO56" s="754"/>
      <c r="FP56" s="754"/>
      <c r="FQ56" s="754"/>
      <c r="FR56" s="754"/>
      <c r="FS56" s="754"/>
      <c r="FT56" s="754"/>
      <c r="FU56" s="754"/>
      <c r="FV56" s="754"/>
      <c r="FW56" s="754"/>
      <c r="FX56" s="754"/>
      <c r="FY56" s="754"/>
      <c r="FZ56" s="754"/>
      <c r="GA56" s="754"/>
      <c r="GB56" s="754"/>
      <c r="GC56" s="754"/>
      <c r="GD56" s="754"/>
      <c r="GE56" s="754"/>
      <c r="GF56" s="754"/>
      <c r="GG56" s="754"/>
      <c r="GH56" s="754"/>
      <c r="GI56" s="754"/>
      <c r="GJ56" s="754"/>
      <c r="GK56" s="754"/>
      <c r="GL56" s="754"/>
      <c r="GM56" s="754"/>
      <c r="GN56" s="754"/>
      <c r="GO56" s="754"/>
      <c r="GP56" s="754"/>
      <c r="GQ56" s="754"/>
      <c r="GR56" s="754"/>
      <c r="GS56" s="754"/>
      <c r="GT56" s="754"/>
      <c r="GU56" s="754"/>
      <c r="GV56" s="754"/>
      <c r="GW56" s="754"/>
      <c r="GX56" s="754"/>
      <c r="GY56" s="754"/>
      <c r="GZ56" s="754"/>
      <c r="HA56" s="754"/>
      <c r="HB56" s="754"/>
      <c r="HC56" s="754"/>
      <c r="HD56" s="754"/>
      <c r="HE56" s="754"/>
      <c r="HF56" s="754"/>
      <c r="HG56" s="754"/>
      <c r="HH56" s="754"/>
      <c r="HI56" s="754"/>
      <c r="HJ56" s="754"/>
      <c r="HK56" s="754"/>
      <c r="HL56" s="754"/>
      <c r="HM56" s="754"/>
      <c r="HN56" s="754"/>
      <c r="HO56" s="754"/>
      <c r="HP56" s="754"/>
      <c r="HQ56" s="754"/>
      <c r="HR56" s="754"/>
      <c r="HS56" s="754"/>
      <c r="HT56" s="754"/>
      <c r="HU56" s="754"/>
      <c r="HV56" s="754"/>
      <c r="HW56" s="754"/>
      <c r="HX56" s="754"/>
      <c r="HY56" s="754"/>
      <c r="HZ56" s="754"/>
      <c r="IA56" s="754"/>
      <c r="IB56" s="754"/>
      <c r="IC56" s="754"/>
      <c r="ID56" s="754"/>
      <c r="IE56" s="754"/>
      <c r="IF56" s="754"/>
      <c r="IG56" s="754"/>
      <c r="IH56" s="754"/>
      <c r="II56" s="754"/>
      <c r="IJ56" s="754"/>
      <c r="IK56" s="754"/>
      <c r="IL56" s="754"/>
      <c r="IM56" s="754"/>
      <c r="IN56" s="754"/>
      <c r="IO56" s="754"/>
      <c r="IP56" s="754"/>
      <c r="IQ56" s="754"/>
      <c r="IR56" s="754"/>
      <c r="IS56" s="754"/>
      <c r="IT56" s="754"/>
      <c r="IU56" s="754"/>
      <c r="IV56" s="754"/>
    </row>
    <row r="57" spans="1:256" ht="13.5" customHeight="1">
      <c r="A57" s="748">
        <v>16</v>
      </c>
      <c r="B57" s="749" t="s">
        <v>96</v>
      </c>
      <c r="C57" s="749">
        <v>151101211</v>
      </c>
      <c r="D57" s="749" t="s">
        <v>691</v>
      </c>
      <c r="E57" s="749" t="s">
        <v>98</v>
      </c>
      <c r="F57" s="750">
        <f>F54</f>
        <v>62.208000000000006</v>
      </c>
      <c r="G57" s="810"/>
      <c r="H57" s="751">
        <f>F57*G57</f>
        <v>0</v>
      </c>
      <c r="I57" s="533" t="s">
        <v>738</v>
      </c>
      <c r="J57" s="753"/>
      <c r="K57" s="753"/>
      <c r="L57" s="753"/>
      <c r="M57" s="753"/>
      <c r="N57" s="753"/>
      <c r="O57" s="753"/>
      <c r="P57" s="753"/>
      <c r="Q57" s="753"/>
      <c r="R57" s="753"/>
      <c r="S57" s="753"/>
      <c r="T57" s="753"/>
      <c r="U57" s="753"/>
      <c r="V57" s="753"/>
      <c r="W57" s="753"/>
      <c r="X57" s="753"/>
      <c r="Y57" s="753"/>
      <c r="Z57" s="753"/>
      <c r="AA57" s="753"/>
      <c r="AB57" s="753"/>
      <c r="AC57" s="753"/>
      <c r="AD57" s="753"/>
      <c r="AE57" s="753"/>
      <c r="AF57" s="753"/>
      <c r="AG57" s="753"/>
      <c r="AH57" s="753"/>
      <c r="AI57" s="753"/>
      <c r="AJ57" s="753"/>
      <c r="AK57" s="753"/>
      <c r="AL57" s="753"/>
      <c r="AM57" s="753"/>
      <c r="AN57" s="753"/>
      <c r="AO57" s="753"/>
      <c r="AP57" s="754"/>
      <c r="AQ57" s="754"/>
      <c r="AR57" s="754"/>
      <c r="AS57" s="754"/>
      <c r="AT57" s="754"/>
      <c r="AU57" s="754"/>
      <c r="AV57" s="754"/>
      <c r="AW57" s="754"/>
      <c r="AX57" s="754"/>
      <c r="AY57" s="754"/>
      <c r="AZ57" s="754"/>
      <c r="BA57" s="754"/>
      <c r="BB57" s="754"/>
      <c r="BC57" s="754"/>
      <c r="BD57" s="754"/>
      <c r="BE57" s="754"/>
      <c r="BF57" s="754"/>
      <c r="BG57" s="754"/>
      <c r="BH57" s="754"/>
      <c r="BI57" s="754"/>
      <c r="BJ57" s="754"/>
      <c r="BK57" s="754"/>
      <c r="BL57" s="754"/>
      <c r="BM57" s="754"/>
      <c r="BN57" s="754"/>
      <c r="BO57" s="754"/>
      <c r="BP57" s="754"/>
      <c r="BQ57" s="754"/>
      <c r="BR57" s="754"/>
      <c r="BS57" s="754"/>
      <c r="BT57" s="754"/>
      <c r="BU57" s="754"/>
      <c r="BV57" s="754"/>
      <c r="BW57" s="754"/>
      <c r="BX57" s="754"/>
      <c r="BY57" s="754"/>
      <c r="BZ57" s="754"/>
      <c r="CA57" s="754"/>
      <c r="CB57" s="754"/>
      <c r="CC57" s="754"/>
      <c r="CD57" s="754"/>
      <c r="CE57" s="754"/>
      <c r="CF57" s="754"/>
      <c r="CG57" s="754"/>
      <c r="CH57" s="754"/>
      <c r="CI57" s="754"/>
      <c r="CJ57" s="754"/>
      <c r="CK57" s="754"/>
      <c r="CL57" s="754"/>
      <c r="CM57" s="754"/>
      <c r="CN57" s="754"/>
      <c r="CO57" s="754"/>
      <c r="CP57" s="754"/>
      <c r="CQ57" s="754"/>
      <c r="CR57" s="754"/>
      <c r="CS57" s="754"/>
      <c r="CT57" s="754"/>
      <c r="CU57" s="754"/>
      <c r="CV57" s="754"/>
      <c r="CW57" s="754"/>
      <c r="CX57" s="754"/>
      <c r="CY57" s="754"/>
      <c r="CZ57" s="754"/>
      <c r="DA57" s="754"/>
      <c r="DB57" s="754"/>
      <c r="DC57" s="754"/>
      <c r="DD57" s="754"/>
      <c r="DE57" s="754"/>
      <c r="DF57" s="754"/>
      <c r="DG57" s="754"/>
      <c r="DH57" s="754"/>
      <c r="DI57" s="754"/>
      <c r="DJ57" s="754"/>
      <c r="DK57" s="754"/>
      <c r="DL57" s="754"/>
      <c r="DM57" s="754"/>
      <c r="DN57" s="754"/>
      <c r="DO57" s="754"/>
      <c r="DP57" s="754"/>
      <c r="DQ57" s="754"/>
      <c r="DR57" s="754"/>
      <c r="DS57" s="754"/>
      <c r="DT57" s="754"/>
      <c r="DU57" s="754"/>
      <c r="DV57" s="754"/>
      <c r="DW57" s="754"/>
      <c r="DX57" s="754"/>
      <c r="DY57" s="754"/>
      <c r="DZ57" s="754"/>
      <c r="EA57" s="754"/>
      <c r="EB57" s="754"/>
      <c r="EC57" s="754"/>
      <c r="ED57" s="754"/>
      <c r="EE57" s="754"/>
      <c r="EF57" s="754"/>
      <c r="EG57" s="754"/>
      <c r="EH57" s="754"/>
      <c r="EI57" s="754"/>
      <c r="EJ57" s="754"/>
      <c r="EK57" s="754"/>
      <c r="EL57" s="754"/>
      <c r="EM57" s="754"/>
      <c r="EN57" s="754"/>
      <c r="EO57" s="754"/>
      <c r="EP57" s="754"/>
      <c r="EQ57" s="754"/>
      <c r="ER57" s="754"/>
      <c r="ES57" s="754"/>
      <c r="ET57" s="754"/>
      <c r="EU57" s="754"/>
      <c r="EV57" s="754"/>
      <c r="EW57" s="754"/>
      <c r="EX57" s="754"/>
      <c r="EY57" s="754"/>
      <c r="EZ57" s="754"/>
      <c r="FA57" s="754"/>
      <c r="FB57" s="754"/>
      <c r="FC57" s="754"/>
      <c r="FD57" s="754"/>
      <c r="FE57" s="754"/>
      <c r="FF57" s="754"/>
      <c r="FG57" s="754"/>
      <c r="FH57" s="754"/>
      <c r="FI57" s="754"/>
      <c r="FJ57" s="754"/>
      <c r="FK57" s="754"/>
      <c r="FL57" s="754"/>
      <c r="FM57" s="754"/>
      <c r="FN57" s="754"/>
      <c r="FO57" s="754"/>
      <c r="FP57" s="754"/>
      <c r="FQ57" s="754"/>
      <c r="FR57" s="754"/>
      <c r="FS57" s="754"/>
      <c r="FT57" s="754"/>
      <c r="FU57" s="754"/>
      <c r="FV57" s="754"/>
      <c r="FW57" s="754"/>
      <c r="FX57" s="754"/>
      <c r="FY57" s="754"/>
      <c r="FZ57" s="754"/>
      <c r="GA57" s="754"/>
      <c r="GB57" s="754"/>
      <c r="GC57" s="754"/>
      <c r="GD57" s="754"/>
      <c r="GE57" s="754"/>
      <c r="GF57" s="754"/>
      <c r="GG57" s="754"/>
      <c r="GH57" s="754"/>
      <c r="GI57" s="754"/>
      <c r="GJ57" s="754"/>
      <c r="GK57" s="754"/>
      <c r="GL57" s="754"/>
      <c r="GM57" s="754"/>
      <c r="GN57" s="754"/>
      <c r="GO57" s="754"/>
      <c r="GP57" s="754"/>
      <c r="GQ57" s="754"/>
      <c r="GR57" s="754"/>
      <c r="GS57" s="754"/>
      <c r="GT57" s="754"/>
      <c r="GU57" s="754"/>
      <c r="GV57" s="754"/>
      <c r="GW57" s="754"/>
      <c r="GX57" s="754"/>
      <c r="GY57" s="754"/>
      <c r="GZ57" s="754"/>
      <c r="HA57" s="754"/>
      <c r="HB57" s="754"/>
      <c r="HC57" s="754"/>
      <c r="HD57" s="754"/>
      <c r="HE57" s="754"/>
      <c r="HF57" s="754"/>
      <c r="HG57" s="754"/>
      <c r="HH57" s="754"/>
      <c r="HI57" s="754"/>
      <c r="HJ57" s="754"/>
      <c r="HK57" s="754"/>
      <c r="HL57" s="754"/>
      <c r="HM57" s="754"/>
      <c r="HN57" s="754"/>
      <c r="HO57" s="754"/>
      <c r="HP57" s="754"/>
      <c r="HQ57" s="754"/>
      <c r="HR57" s="754"/>
      <c r="HS57" s="754"/>
      <c r="HT57" s="754"/>
      <c r="HU57" s="754"/>
      <c r="HV57" s="754"/>
      <c r="HW57" s="754"/>
      <c r="HX57" s="754"/>
      <c r="HY57" s="754"/>
      <c r="HZ57" s="754"/>
      <c r="IA57" s="754"/>
      <c r="IB57" s="754"/>
      <c r="IC57" s="754"/>
      <c r="ID57" s="754"/>
      <c r="IE57" s="754"/>
      <c r="IF57" s="754"/>
      <c r="IG57" s="754"/>
      <c r="IH57" s="754"/>
      <c r="II57" s="754"/>
      <c r="IJ57" s="754"/>
      <c r="IK57" s="754"/>
      <c r="IL57" s="754"/>
      <c r="IM57" s="754"/>
      <c r="IN57" s="754"/>
      <c r="IO57" s="754"/>
      <c r="IP57" s="754"/>
      <c r="IQ57" s="754"/>
      <c r="IR57" s="754"/>
      <c r="IS57" s="754"/>
      <c r="IT57" s="754"/>
      <c r="IU57" s="754"/>
      <c r="IV57" s="754"/>
    </row>
    <row r="58" spans="1:256" ht="13.5" customHeight="1">
      <c r="A58" s="748">
        <v>17</v>
      </c>
      <c r="B58" s="749" t="s">
        <v>96</v>
      </c>
      <c r="C58" s="749">
        <v>151101301</v>
      </c>
      <c r="D58" s="749" t="s">
        <v>692</v>
      </c>
      <c r="E58" s="749" t="s">
        <v>122</v>
      </c>
      <c r="F58" s="750">
        <f>SUM(F59)</f>
        <v>62.985600000000012</v>
      </c>
      <c r="G58" s="810"/>
      <c r="H58" s="751">
        <f>F58*G58</f>
        <v>0</v>
      </c>
      <c r="I58" s="533" t="s">
        <v>738</v>
      </c>
      <c r="J58" s="753"/>
      <c r="K58" s="753"/>
      <c r="L58" s="753"/>
      <c r="M58" s="753"/>
      <c r="N58" s="753"/>
      <c r="O58" s="753"/>
      <c r="P58" s="753"/>
      <c r="Q58" s="753"/>
      <c r="R58" s="753"/>
      <c r="S58" s="753"/>
      <c r="T58" s="753"/>
      <c r="U58" s="753"/>
      <c r="V58" s="753"/>
      <c r="W58" s="753"/>
      <c r="X58" s="753"/>
      <c r="Y58" s="753"/>
      <c r="Z58" s="753"/>
      <c r="AA58" s="753"/>
      <c r="AB58" s="753"/>
      <c r="AC58" s="753"/>
      <c r="AD58" s="753"/>
      <c r="AE58" s="753"/>
      <c r="AF58" s="753"/>
      <c r="AG58" s="753"/>
      <c r="AH58" s="753"/>
      <c r="AI58" s="753"/>
      <c r="AJ58" s="753"/>
      <c r="AK58" s="753"/>
      <c r="AL58" s="753"/>
      <c r="AM58" s="753"/>
      <c r="AN58" s="753"/>
      <c r="AO58" s="753"/>
      <c r="AP58" s="754"/>
      <c r="AQ58" s="754"/>
      <c r="AR58" s="754"/>
      <c r="AS58" s="754"/>
      <c r="AT58" s="754"/>
      <c r="AU58" s="754"/>
      <c r="AV58" s="754"/>
      <c r="AW58" s="754"/>
      <c r="AX58" s="754"/>
      <c r="AY58" s="754"/>
      <c r="AZ58" s="754"/>
      <c r="BA58" s="754"/>
      <c r="BB58" s="754"/>
      <c r="BC58" s="754"/>
      <c r="BD58" s="754"/>
      <c r="BE58" s="754"/>
      <c r="BF58" s="754"/>
      <c r="BG58" s="754"/>
      <c r="BH58" s="754"/>
      <c r="BI58" s="754"/>
      <c r="BJ58" s="754"/>
      <c r="BK58" s="754"/>
      <c r="BL58" s="754"/>
      <c r="BM58" s="754"/>
      <c r="BN58" s="754"/>
      <c r="BO58" s="754"/>
      <c r="BP58" s="754"/>
      <c r="BQ58" s="754"/>
      <c r="BR58" s="754"/>
      <c r="BS58" s="754"/>
      <c r="BT58" s="754"/>
      <c r="BU58" s="754"/>
      <c r="BV58" s="754"/>
      <c r="BW58" s="754"/>
      <c r="BX58" s="754"/>
      <c r="BY58" s="754"/>
      <c r="BZ58" s="754"/>
      <c r="CA58" s="754"/>
      <c r="CB58" s="754"/>
      <c r="CC58" s="754"/>
      <c r="CD58" s="754"/>
      <c r="CE58" s="754"/>
      <c r="CF58" s="754"/>
      <c r="CG58" s="754"/>
      <c r="CH58" s="754"/>
      <c r="CI58" s="754"/>
      <c r="CJ58" s="754"/>
      <c r="CK58" s="754"/>
      <c r="CL58" s="754"/>
      <c r="CM58" s="754"/>
      <c r="CN58" s="754"/>
      <c r="CO58" s="754"/>
      <c r="CP58" s="754"/>
      <c r="CQ58" s="754"/>
      <c r="CR58" s="754"/>
      <c r="CS58" s="754"/>
      <c r="CT58" s="754"/>
      <c r="CU58" s="754"/>
      <c r="CV58" s="754"/>
      <c r="CW58" s="754"/>
      <c r="CX58" s="754"/>
      <c r="CY58" s="754"/>
      <c r="CZ58" s="754"/>
      <c r="DA58" s="754"/>
      <c r="DB58" s="754"/>
      <c r="DC58" s="754"/>
      <c r="DD58" s="754"/>
      <c r="DE58" s="754"/>
      <c r="DF58" s="754"/>
      <c r="DG58" s="754"/>
      <c r="DH58" s="754"/>
      <c r="DI58" s="754"/>
      <c r="DJ58" s="754"/>
      <c r="DK58" s="754"/>
      <c r="DL58" s="754"/>
      <c r="DM58" s="754"/>
      <c r="DN58" s="754"/>
      <c r="DO58" s="754"/>
      <c r="DP58" s="754"/>
      <c r="DQ58" s="754"/>
      <c r="DR58" s="754"/>
      <c r="DS58" s="754"/>
      <c r="DT58" s="754"/>
      <c r="DU58" s="754"/>
      <c r="DV58" s="754"/>
      <c r="DW58" s="754"/>
      <c r="DX58" s="754"/>
      <c r="DY58" s="754"/>
      <c r="DZ58" s="754"/>
      <c r="EA58" s="754"/>
      <c r="EB58" s="754"/>
      <c r="EC58" s="754"/>
      <c r="ED58" s="754"/>
      <c r="EE58" s="754"/>
      <c r="EF58" s="754"/>
      <c r="EG58" s="754"/>
      <c r="EH58" s="754"/>
      <c r="EI58" s="754"/>
      <c r="EJ58" s="754"/>
      <c r="EK58" s="754"/>
      <c r="EL58" s="754"/>
      <c r="EM58" s="754"/>
      <c r="EN58" s="754"/>
      <c r="EO58" s="754"/>
      <c r="EP58" s="754"/>
      <c r="EQ58" s="754"/>
      <c r="ER58" s="754"/>
      <c r="ES58" s="754"/>
      <c r="ET58" s="754"/>
      <c r="EU58" s="754"/>
      <c r="EV58" s="754"/>
      <c r="EW58" s="754"/>
      <c r="EX58" s="754"/>
      <c r="EY58" s="754"/>
      <c r="EZ58" s="754"/>
      <c r="FA58" s="754"/>
      <c r="FB58" s="754"/>
      <c r="FC58" s="754"/>
      <c r="FD58" s="754"/>
      <c r="FE58" s="754"/>
      <c r="FF58" s="754"/>
      <c r="FG58" s="754"/>
      <c r="FH58" s="754"/>
      <c r="FI58" s="754"/>
      <c r="FJ58" s="754"/>
      <c r="FK58" s="754"/>
      <c r="FL58" s="754"/>
      <c r="FM58" s="754"/>
      <c r="FN58" s="754"/>
      <c r="FO58" s="754"/>
      <c r="FP58" s="754"/>
      <c r="FQ58" s="754"/>
      <c r="FR58" s="754"/>
      <c r="FS58" s="754"/>
      <c r="FT58" s="754"/>
      <c r="FU58" s="754"/>
      <c r="FV58" s="754"/>
      <c r="FW58" s="754"/>
      <c r="FX58" s="754"/>
      <c r="FY58" s="754"/>
      <c r="FZ58" s="754"/>
      <c r="GA58" s="754"/>
      <c r="GB58" s="754"/>
      <c r="GC58" s="754"/>
      <c r="GD58" s="754"/>
      <c r="GE58" s="754"/>
      <c r="GF58" s="754"/>
      <c r="GG58" s="754"/>
      <c r="GH58" s="754"/>
      <c r="GI58" s="754"/>
      <c r="GJ58" s="754"/>
      <c r="GK58" s="754"/>
      <c r="GL58" s="754"/>
      <c r="GM58" s="754"/>
      <c r="GN58" s="754"/>
      <c r="GO58" s="754"/>
      <c r="GP58" s="754"/>
      <c r="GQ58" s="754"/>
      <c r="GR58" s="754"/>
      <c r="GS58" s="754"/>
      <c r="GT58" s="754"/>
      <c r="GU58" s="754"/>
      <c r="GV58" s="754"/>
      <c r="GW58" s="754"/>
      <c r="GX58" s="754"/>
      <c r="GY58" s="754"/>
      <c r="GZ58" s="754"/>
      <c r="HA58" s="754"/>
      <c r="HB58" s="754"/>
      <c r="HC58" s="754"/>
      <c r="HD58" s="754"/>
      <c r="HE58" s="754"/>
      <c r="HF58" s="754"/>
      <c r="HG58" s="754"/>
      <c r="HH58" s="754"/>
      <c r="HI58" s="754"/>
      <c r="HJ58" s="754"/>
      <c r="HK58" s="754"/>
      <c r="HL58" s="754"/>
      <c r="HM58" s="754"/>
      <c r="HN58" s="754"/>
      <c r="HO58" s="754"/>
      <c r="HP58" s="754"/>
      <c r="HQ58" s="754"/>
      <c r="HR58" s="754"/>
      <c r="HS58" s="754"/>
      <c r="HT58" s="754"/>
      <c r="HU58" s="754"/>
      <c r="HV58" s="754"/>
      <c r="HW58" s="754"/>
      <c r="HX58" s="754"/>
      <c r="HY58" s="754"/>
      <c r="HZ58" s="754"/>
      <c r="IA58" s="754"/>
      <c r="IB58" s="754"/>
      <c r="IC58" s="754"/>
      <c r="ID58" s="754"/>
      <c r="IE58" s="754"/>
      <c r="IF58" s="754"/>
      <c r="IG58" s="754"/>
      <c r="IH58" s="754"/>
      <c r="II58" s="754"/>
      <c r="IJ58" s="754"/>
      <c r="IK58" s="754"/>
      <c r="IL58" s="754"/>
      <c r="IM58" s="754"/>
      <c r="IN58" s="754"/>
      <c r="IO58" s="754"/>
      <c r="IP58" s="754"/>
      <c r="IQ58" s="754"/>
      <c r="IR58" s="754"/>
      <c r="IS58" s="754"/>
      <c r="IT58" s="754"/>
      <c r="IU58" s="754"/>
      <c r="IV58" s="754"/>
    </row>
    <row r="59" spans="1:256" ht="13.5" customHeight="1">
      <c r="A59" s="758"/>
      <c r="B59" s="758"/>
      <c r="C59" s="759"/>
      <c r="D59" s="756" t="s">
        <v>714</v>
      </c>
      <c r="E59" s="756"/>
      <c r="F59" s="760">
        <f>((3.24*3.24)*3)*2</f>
        <v>62.985600000000012</v>
      </c>
      <c r="G59" s="761"/>
      <c r="H59" s="761"/>
      <c r="I59" s="762"/>
      <c r="J59" s="753"/>
      <c r="K59" s="753"/>
      <c r="L59" s="753"/>
      <c r="M59" s="753"/>
      <c r="N59" s="753"/>
      <c r="O59" s="753"/>
      <c r="P59" s="753"/>
      <c r="Q59" s="753"/>
      <c r="R59" s="753"/>
      <c r="S59" s="753"/>
      <c r="T59" s="753"/>
      <c r="U59" s="753"/>
      <c r="V59" s="753"/>
      <c r="W59" s="753"/>
      <c r="X59" s="753"/>
      <c r="Y59" s="753"/>
      <c r="Z59" s="753"/>
      <c r="AA59" s="753"/>
      <c r="AB59" s="753"/>
      <c r="AC59" s="753"/>
      <c r="AD59" s="753"/>
      <c r="AE59" s="753"/>
      <c r="AF59" s="753"/>
      <c r="AG59" s="753"/>
      <c r="AH59" s="753"/>
      <c r="AI59" s="753"/>
      <c r="AJ59" s="753"/>
      <c r="AK59" s="753"/>
      <c r="AL59" s="753"/>
      <c r="AM59" s="753"/>
      <c r="AN59" s="753"/>
      <c r="AO59" s="753"/>
      <c r="AP59" s="754"/>
      <c r="AQ59" s="754"/>
      <c r="AR59" s="754"/>
      <c r="AS59" s="754"/>
      <c r="AT59" s="754"/>
      <c r="AU59" s="754"/>
      <c r="AV59" s="754"/>
      <c r="AW59" s="754"/>
      <c r="AX59" s="754"/>
      <c r="AY59" s="754"/>
      <c r="AZ59" s="754"/>
      <c r="BA59" s="754"/>
      <c r="BB59" s="754"/>
      <c r="BC59" s="754"/>
      <c r="BD59" s="754"/>
      <c r="BE59" s="754"/>
      <c r="BF59" s="754"/>
      <c r="BG59" s="754"/>
      <c r="BH59" s="754"/>
      <c r="BI59" s="754"/>
      <c r="BJ59" s="754"/>
      <c r="BK59" s="754"/>
      <c r="BL59" s="754"/>
      <c r="BM59" s="754"/>
      <c r="BN59" s="754"/>
      <c r="BO59" s="754"/>
      <c r="BP59" s="754"/>
      <c r="BQ59" s="754"/>
      <c r="BR59" s="754"/>
      <c r="BS59" s="754"/>
      <c r="BT59" s="754"/>
      <c r="BU59" s="754"/>
      <c r="BV59" s="754"/>
      <c r="BW59" s="754"/>
      <c r="BX59" s="754"/>
      <c r="BY59" s="754"/>
      <c r="BZ59" s="754"/>
      <c r="CA59" s="754"/>
      <c r="CB59" s="754"/>
      <c r="CC59" s="754"/>
      <c r="CD59" s="754"/>
      <c r="CE59" s="754"/>
      <c r="CF59" s="754"/>
      <c r="CG59" s="754"/>
      <c r="CH59" s="754"/>
      <c r="CI59" s="754"/>
      <c r="CJ59" s="754"/>
      <c r="CK59" s="754"/>
      <c r="CL59" s="754"/>
      <c r="CM59" s="754"/>
      <c r="CN59" s="754"/>
      <c r="CO59" s="754"/>
      <c r="CP59" s="754"/>
      <c r="CQ59" s="754"/>
      <c r="CR59" s="754"/>
      <c r="CS59" s="754"/>
      <c r="CT59" s="754"/>
      <c r="CU59" s="754"/>
      <c r="CV59" s="754"/>
      <c r="CW59" s="754"/>
      <c r="CX59" s="754"/>
      <c r="CY59" s="754"/>
      <c r="CZ59" s="754"/>
      <c r="DA59" s="754"/>
      <c r="DB59" s="754"/>
      <c r="DC59" s="754"/>
      <c r="DD59" s="754"/>
      <c r="DE59" s="754"/>
      <c r="DF59" s="754"/>
      <c r="DG59" s="754"/>
      <c r="DH59" s="754"/>
      <c r="DI59" s="754"/>
      <c r="DJ59" s="754"/>
      <c r="DK59" s="754"/>
      <c r="DL59" s="754"/>
      <c r="DM59" s="754"/>
      <c r="DN59" s="754"/>
      <c r="DO59" s="754"/>
      <c r="DP59" s="754"/>
      <c r="DQ59" s="754"/>
      <c r="DR59" s="754"/>
      <c r="DS59" s="754"/>
      <c r="DT59" s="754"/>
      <c r="DU59" s="754"/>
      <c r="DV59" s="754"/>
      <c r="DW59" s="754"/>
      <c r="DX59" s="754"/>
      <c r="DY59" s="754"/>
      <c r="DZ59" s="754"/>
      <c r="EA59" s="754"/>
      <c r="EB59" s="754"/>
      <c r="EC59" s="754"/>
      <c r="ED59" s="754"/>
      <c r="EE59" s="754"/>
      <c r="EF59" s="754"/>
      <c r="EG59" s="754"/>
      <c r="EH59" s="754"/>
      <c r="EI59" s="754"/>
      <c r="EJ59" s="754"/>
      <c r="EK59" s="754"/>
      <c r="EL59" s="754"/>
      <c r="EM59" s="754"/>
      <c r="EN59" s="754"/>
      <c r="EO59" s="754"/>
      <c r="EP59" s="754"/>
      <c r="EQ59" s="754"/>
      <c r="ER59" s="754"/>
      <c r="ES59" s="754"/>
      <c r="ET59" s="754"/>
      <c r="EU59" s="754"/>
      <c r="EV59" s="754"/>
      <c r="EW59" s="754"/>
      <c r="EX59" s="754"/>
      <c r="EY59" s="754"/>
      <c r="EZ59" s="754"/>
      <c r="FA59" s="754"/>
      <c r="FB59" s="754"/>
      <c r="FC59" s="754"/>
      <c r="FD59" s="754"/>
      <c r="FE59" s="754"/>
      <c r="FF59" s="754"/>
      <c r="FG59" s="754"/>
      <c r="FH59" s="754"/>
      <c r="FI59" s="754"/>
      <c r="FJ59" s="754"/>
      <c r="FK59" s="754"/>
      <c r="FL59" s="754"/>
      <c r="FM59" s="754"/>
      <c r="FN59" s="754"/>
      <c r="FO59" s="754"/>
      <c r="FP59" s="754"/>
      <c r="FQ59" s="754"/>
      <c r="FR59" s="754"/>
      <c r="FS59" s="754"/>
      <c r="FT59" s="754"/>
      <c r="FU59" s="754"/>
      <c r="FV59" s="754"/>
      <c r="FW59" s="754"/>
      <c r="FX59" s="754"/>
      <c r="FY59" s="754"/>
      <c r="FZ59" s="754"/>
      <c r="GA59" s="754"/>
      <c r="GB59" s="754"/>
      <c r="GC59" s="754"/>
      <c r="GD59" s="754"/>
      <c r="GE59" s="754"/>
      <c r="GF59" s="754"/>
      <c r="GG59" s="754"/>
      <c r="GH59" s="754"/>
      <c r="GI59" s="754"/>
      <c r="GJ59" s="754"/>
      <c r="GK59" s="754"/>
      <c r="GL59" s="754"/>
      <c r="GM59" s="754"/>
      <c r="GN59" s="754"/>
      <c r="GO59" s="754"/>
      <c r="GP59" s="754"/>
      <c r="GQ59" s="754"/>
      <c r="GR59" s="754"/>
      <c r="GS59" s="754"/>
      <c r="GT59" s="754"/>
      <c r="GU59" s="754"/>
      <c r="GV59" s="754"/>
      <c r="GW59" s="754"/>
      <c r="GX59" s="754"/>
      <c r="GY59" s="754"/>
      <c r="GZ59" s="754"/>
      <c r="HA59" s="754"/>
      <c r="HB59" s="754"/>
      <c r="HC59" s="754"/>
      <c r="HD59" s="754"/>
      <c r="HE59" s="754"/>
      <c r="HF59" s="754"/>
      <c r="HG59" s="754"/>
      <c r="HH59" s="754"/>
      <c r="HI59" s="754"/>
      <c r="HJ59" s="754"/>
      <c r="HK59" s="754"/>
      <c r="HL59" s="754"/>
      <c r="HM59" s="754"/>
      <c r="HN59" s="754"/>
      <c r="HO59" s="754"/>
      <c r="HP59" s="754"/>
      <c r="HQ59" s="754"/>
      <c r="HR59" s="754"/>
      <c r="HS59" s="754"/>
      <c r="HT59" s="754"/>
      <c r="HU59" s="754"/>
      <c r="HV59" s="754"/>
      <c r="HW59" s="754"/>
      <c r="HX59" s="754"/>
      <c r="HY59" s="754"/>
      <c r="HZ59" s="754"/>
      <c r="IA59" s="754"/>
      <c r="IB59" s="754"/>
      <c r="IC59" s="754"/>
      <c r="ID59" s="754"/>
      <c r="IE59" s="754"/>
      <c r="IF59" s="754"/>
      <c r="IG59" s="754"/>
      <c r="IH59" s="754"/>
      <c r="II59" s="754"/>
      <c r="IJ59" s="754"/>
      <c r="IK59" s="754"/>
      <c r="IL59" s="754"/>
      <c r="IM59" s="754"/>
      <c r="IN59" s="754"/>
      <c r="IO59" s="754"/>
      <c r="IP59" s="754"/>
      <c r="IQ59" s="754"/>
      <c r="IR59" s="754"/>
      <c r="IS59" s="754"/>
      <c r="IT59" s="754"/>
      <c r="IU59" s="754"/>
      <c r="IV59" s="754"/>
    </row>
    <row r="60" spans="1:256" ht="13.5" customHeight="1">
      <c r="A60" s="748">
        <v>18</v>
      </c>
      <c r="B60" s="749" t="s">
        <v>96</v>
      </c>
      <c r="C60" s="749">
        <v>151101311</v>
      </c>
      <c r="D60" s="749" t="s">
        <v>693</v>
      </c>
      <c r="E60" s="749" t="s">
        <v>122</v>
      </c>
      <c r="F60" s="750">
        <f>F58</f>
        <v>62.985600000000012</v>
      </c>
      <c r="G60" s="810"/>
      <c r="H60" s="751">
        <f>F60*G60</f>
        <v>0</v>
      </c>
      <c r="I60" s="533" t="s">
        <v>738</v>
      </c>
      <c r="J60" s="753"/>
      <c r="K60" s="753"/>
      <c r="L60" s="753"/>
      <c r="M60" s="753"/>
      <c r="N60" s="753"/>
      <c r="O60" s="753"/>
      <c r="P60" s="753"/>
      <c r="Q60" s="753"/>
      <c r="R60" s="753"/>
      <c r="S60" s="753"/>
      <c r="T60" s="753"/>
      <c r="U60" s="753"/>
      <c r="V60" s="753"/>
      <c r="W60" s="753"/>
      <c r="X60" s="753"/>
      <c r="Y60" s="753"/>
      <c r="Z60" s="753"/>
      <c r="AA60" s="753"/>
      <c r="AB60" s="753"/>
      <c r="AC60" s="753"/>
      <c r="AD60" s="753"/>
      <c r="AE60" s="753"/>
      <c r="AF60" s="753"/>
      <c r="AG60" s="753"/>
      <c r="AH60" s="753"/>
      <c r="AI60" s="753"/>
      <c r="AJ60" s="753"/>
      <c r="AK60" s="753"/>
      <c r="AL60" s="753"/>
      <c r="AM60" s="753"/>
      <c r="AN60" s="753"/>
      <c r="AO60" s="753"/>
      <c r="AP60" s="754"/>
      <c r="AQ60" s="754"/>
      <c r="AR60" s="754"/>
      <c r="AS60" s="754"/>
      <c r="AT60" s="754"/>
      <c r="AU60" s="754"/>
      <c r="AV60" s="754"/>
      <c r="AW60" s="754"/>
      <c r="AX60" s="754"/>
      <c r="AY60" s="754"/>
      <c r="AZ60" s="754"/>
      <c r="BA60" s="754"/>
      <c r="BB60" s="754"/>
      <c r="BC60" s="754"/>
      <c r="BD60" s="754"/>
      <c r="BE60" s="754"/>
      <c r="BF60" s="754"/>
      <c r="BG60" s="754"/>
      <c r="BH60" s="754"/>
      <c r="BI60" s="754"/>
      <c r="BJ60" s="754"/>
      <c r="BK60" s="754"/>
      <c r="BL60" s="754"/>
      <c r="BM60" s="754"/>
      <c r="BN60" s="754"/>
      <c r="BO60" s="754"/>
      <c r="BP60" s="754"/>
      <c r="BQ60" s="754"/>
      <c r="BR60" s="754"/>
      <c r="BS60" s="754"/>
      <c r="BT60" s="754"/>
      <c r="BU60" s="754"/>
      <c r="BV60" s="754"/>
      <c r="BW60" s="754"/>
      <c r="BX60" s="754"/>
      <c r="BY60" s="754"/>
      <c r="BZ60" s="754"/>
      <c r="CA60" s="754"/>
      <c r="CB60" s="754"/>
      <c r="CC60" s="754"/>
      <c r="CD60" s="754"/>
      <c r="CE60" s="754"/>
      <c r="CF60" s="754"/>
      <c r="CG60" s="754"/>
      <c r="CH60" s="754"/>
      <c r="CI60" s="754"/>
      <c r="CJ60" s="754"/>
      <c r="CK60" s="754"/>
      <c r="CL60" s="754"/>
      <c r="CM60" s="754"/>
      <c r="CN60" s="754"/>
      <c r="CO60" s="754"/>
      <c r="CP60" s="754"/>
      <c r="CQ60" s="754"/>
      <c r="CR60" s="754"/>
      <c r="CS60" s="754"/>
      <c r="CT60" s="754"/>
      <c r="CU60" s="754"/>
      <c r="CV60" s="754"/>
      <c r="CW60" s="754"/>
      <c r="CX60" s="754"/>
      <c r="CY60" s="754"/>
      <c r="CZ60" s="754"/>
      <c r="DA60" s="754"/>
      <c r="DB60" s="754"/>
      <c r="DC60" s="754"/>
      <c r="DD60" s="754"/>
      <c r="DE60" s="754"/>
      <c r="DF60" s="754"/>
      <c r="DG60" s="754"/>
      <c r="DH60" s="754"/>
      <c r="DI60" s="754"/>
      <c r="DJ60" s="754"/>
      <c r="DK60" s="754"/>
      <c r="DL60" s="754"/>
      <c r="DM60" s="754"/>
      <c r="DN60" s="754"/>
      <c r="DO60" s="754"/>
      <c r="DP60" s="754"/>
      <c r="DQ60" s="754"/>
      <c r="DR60" s="754"/>
      <c r="DS60" s="754"/>
      <c r="DT60" s="754"/>
      <c r="DU60" s="754"/>
      <c r="DV60" s="754"/>
      <c r="DW60" s="754"/>
      <c r="DX60" s="754"/>
      <c r="DY60" s="754"/>
      <c r="DZ60" s="754"/>
      <c r="EA60" s="754"/>
      <c r="EB60" s="754"/>
      <c r="EC60" s="754"/>
      <c r="ED60" s="754"/>
      <c r="EE60" s="754"/>
      <c r="EF60" s="754"/>
      <c r="EG60" s="754"/>
      <c r="EH60" s="754"/>
      <c r="EI60" s="754"/>
      <c r="EJ60" s="754"/>
      <c r="EK60" s="754"/>
      <c r="EL60" s="754"/>
      <c r="EM60" s="754"/>
      <c r="EN60" s="754"/>
      <c r="EO60" s="754"/>
      <c r="EP60" s="754"/>
      <c r="EQ60" s="754"/>
      <c r="ER60" s="754"/>
      <c r="ES60" s="754"/>
      <c r="ET60" s="754"/>
      <c r="EU60" s="754"/>
      <c r="EV60" s="754"/>
      <c r="EW60" s="754"/>
      <c r="EX60" s="754"/>
      <c r="EY60" s="754"/>
      <c r="EZ60" s="754"/>
      <c r="FA60" s="754"/>
      <c r="FB60" s="754"/>
      <c r="FC60" s="754"/>
      <c r="FD60" s="754"/>
      <c r="FE60" s="754"/>
      <c r="FF60" s="754"/>
      <c r="FG60" s="754"/>
      <c r="FH60" s="754"/>
      <c r="FI60" s="754"/>
      <c r="FJ60" s="754"/>
      <c r="FK60" s="754"/>
      <c r="FL60" s="754"/>
      <c r="FM60" s="754"/>
      <c r="FN60" s="754"/>
      <c r="FO60" s="754"/>
      <c r="FP60" s="754"/>
      <c r="FQ60" s="754"/>
      <c r="FR60" s="754"/>
      <c r="FS60" s="754"/>
      <c r="FT60" s="754"/>
      <c r="FU60" s="754"/>
      <c r="FV60" s="754"/>
      <c r="FW60" s="754"/>
      <c r="FX60" s="754"/>
      <c r="FY60" s="754"/>
      <c r="FZ60" s="754"/>
      <c r="GA60" s="754"/>
      <c r="GB60" s="754"/>
      <c r="GC60" s="754"/>
      <c r="GD60" s="754"/>
      <c r="GE60" s="754"/>
      <c r="GF60" s="754"/>
      <c r="GG60" s="754"/>
      <c r="GH60" s="754"/>
      <c r="GI60" s="754"/>
      <c r="GJ60" s="754"/>
      <c r="GK60" s="754"/>
      <c r="GL60" s="754"/>
      <c r="GM60" s="754"/>
      <c r="GN60" s="754"/>
      <c r="GO60" s="754"/>
      <c r="GP60" s="754"/>
      <c r="GQ60" s="754"/>
      <c r="GR60" s="754"/>
      <c r="GS60" s="754"/>
      <c r="GT60" s="754"/>
      <c r="GU60" s="754"/>
      <c r="GV60" s="754"/>
      <c r="GW60" s="754"/>
      <c r="GX60" s="754"/>
      <c r="GY60" s="754"/>
      <c r="GZ60" s="754"/>
      <c r="HA60" s="754"/>
      <c r="HB60" s="754"/>
      <c r="HC60" s="754"/>
      <c r="HD60" s="754"/>
      <c r="HE60" s="754"/>
      <c r="HF60" s="754"/>
      <c r="HG60" s="754"/>
      <c r="HH60" s="754"/>
      <c r="HI60" s="754"/>
      <c r="HJ60" s="754"/>
      <c r="HK60" s="754"/>
      <c r="HL60" s="754"/>
      <c r="HM60" s="754"/>
      <c r="HN60" s="754"/>
      <c r="HO60" s="754"/>
      <c r="HP60" s="754"/>
      <c r="HQ60" s="754"/>
      <c r="HR60" s="754"/>
      <c r="HS60" s="754"/>
      <c r="HT60" s="754"/>
      <c r="HU60" s="754"/>
      <c r="HV60" s="754"/>
      <c r="HW60" s="754"/>
      <c r="HX60" s="754"/>
      <c r="HY60" s="754"/>
      <c r="HZ60" s="754"/>
      <c r="IA60" s="754"/>
      <c r="IB60" s="754"/>
      <c r="IC60" s="754"/>
      <c r="ID60" s="754"/>
      <c r="IE60" s="754"/>
      <c r="IF60" s="754"/>
      <c r="IG60" s="754"/>
      <c r="IH60" s="754"/>
      <c r="II60" s="754"/>
      <c r="IJ60" s="754"/>
      <c r="IK60" s="754"/>
      <c r="IL60" s="754"/>
      <c r="IM60" s="754"/>
      <c r="IN60" s="754"/>
      <c r="IO60" s="754"/>
      <c r="IP60" s="754"/>
      <c r="IQ60" s="754"/>
      <c r="IR60" s="754"/>
      <c r="IS60" s="754"/>
      <c r="IT60" s="754"/>
      <c r="IU60" s="754"/>
      <c r="IV60" s="754"/>
    </row>
    <row r="61" spans="1:256" ht="13.5" customHeight="1">
      <c r="A61" s="530">
        <v>19</v>
      </c>
      <c r="B61" s="34" t="s">
        <v>96</v>
      </c>
      <c r="C61" s="34">
        <v>174151101</v>
      </c>
      <c r="D61" s="34" t="s">
        <v>161</v>
      </c>
      <c r="E61" s="34" t="s">
        <v>122</v>
      </c>
      <c r="F61" s="534">
        <f>SUM(F63:F69)</f>
        <v>105.70560000000002</v>
      </c>
      <c r="G61" s="79"/>
      <c r="H61" s="532">
        <f>F61*G61</f>
        <v>0</v>
      </c>
      <c r="I61" s="533" t="s">
        <v>738</v>
      </c>
    </row>
    <row r="62" spans="1:256" ht="13.5" customHeight="1">
      <c r="A62" s="530"/>
      <c r="B62" s="34"/>
      <c r="C62" s="36"/>
      <c r="D62" s="36" t="s">
        <v>555</v>
      </c>
      <c r="E62" s="36"/>
      <c r="F62" s="548"/>
      <c r="G62" s="553"/>
      <c r="H62" s="553"/>
      <c r="I62" s="533"/>
    </row>
    <row r="63" spans="1:256" ht="13.5" customHeight="1">
      <c r="A63" s="530"/>
      <c r="B63" s="34"/>
      <c r="C63" s="36"/>
      <c r="D63" s="36" t="s">
        <v>769</v>
      </c>
      <c r="E63" s="36"/>
      <c r="F63" s="548">
        <f>(7.8+6.2)*0.8*1.5</f>
        <v>16.8</v>
      </c>
      <c r="G63" s="553"/>
      <c r="H63" s="553"/>
      <c r="I63" s="533"/>
    </row>
    <row r="64" spans="1:256" ht="13.5" customHeight="1">
      <c r="A64" s="530"/>
      <c r="B64" s="34"/>
      <c r="C64" s="36"/>
      <c r="D64" s="36" t="s">
        <v>556</v>
      </c>
      <c r="E64" s="36"/>
      <c r="F64" s="548"/>
      <c r="G64" s="553"/>
      <c r="H64" s="553"/>
      <c r="I64" s="533"/>
    </row>
    <row r="65" spans="1:125" ht="13.5" customHeight="1">
      <c r="A65" s="530"/>
      <c r="B65" s="34"/>
      <c r="C65" s="36"/>
      <c r="D65" s="36" t="s">
        <v>557</v>
      </c>
      <c r="E65" s="36"/>
      <c r="F65" s="548">
        <f>(9.6)*0.8*1.2</f>
        <v>9.2159999999999993</v>
      </c>
      <c r="G65" s="553"/>
      <c r="H65" s="553"/>
      <c r="I65" s="533"/>
    </row>
    <row r="66" spans="1:125" ht="27" customHeight="1">
      <c r="A66" s="530"/>
      <c r="B66" s="34"/>
      <c r="C66" s="36"/>
      <c r="D66" s="36" t="s">
        <v>558</v>
      </c>
      <c r="E66" s="36"/>
      <c r="F66" s="548">
        <f>(27-9.6)*0.8*1.2</f>
        <v>16.704000000000001</v>
      </c>
      <c r="G66" s="553"/>
      <c r="H66" s="553"/>
      <c r="I66" s="533"/>
      <c r="J66" s="763"/>
    </row>
    <row r="67" spans="1:125" ht="13.5" customHeight="1">
      <c r="A67" s="530"/>
      <c r="B67" s="34"/>
      <c r="C67" s="36"/>
      <c r="D67" s="36" t="s">
        <v>715</v>
      </c>
      <c r="E67" s="36"/>
      <c r="F67" s="548"/>
      <c r="G67" s="553"/>
      <c r="H67" s="553"/>
      <c r="I67" s="533"/>
    </row>
    <row r="68" spans="1:125" ht="27" customHeight="1">
      <c r="A68" s="530"/>
      <c r="B68" s="34"/>
      <c r="C68" s="36"/>
      <c r="D68" s="36" t="s">
        <v>716</v>
      </c>
      <c r="E68" s="36"/>
      <c r="F68" s="548">
        <f>(((3.24*3.24)*3)-((3.141592654*0.62*0.62)*3))*2</f>
        <v>55.739830702814416</v>
      </c>
      <c r="G68" s="553"/>
      <c r="H68" s="553"/>
      <c r="I68" s="533"/>
    </row>
    <row r="69" spans="1:125" ht="13.5" customHeight="1">
      <c r="A69" s="530"/>
      <c r="B69" s="34"/>
      <c r="C69" s="36"/>
      <c r="D69" s="36" t="s">
        <v>717</v>
      </c>
      <c r="E69" s="36"/>
      <c r="F69" s="548">
        <f>((3.141592654*0.62*0.62)*3)*2</f>
        <v>7.2457692971855998</v>
      </c>
      <c r="G69" s="553"/>
      <c r="H69" s="553"/>
      <c r="I69" s="533"/>
    </row>
    <row r="70" spans="1:125" s="335" customFormat="1" ht="13.5" customHeight="1">
      <c r="A70" s="343" t="s">
        <v>274</v>
      </c>
      <c r="B70" s="344" t="s">
        <v>123</v>
      </c>
      <c r="C70" s="87">
        <v>10364100</v>
      </c>
      <c r="D70" s="87" t="s">
        <v>124</v>
      </c>
      <c r="E70" s="87" t="s">
        <v>125</v>
      </c>
      <c r="F70" s="38">
        <f>SUM(F71)</f>
        <v>12.324999999999999</v>
      </c>
      <c r="G70" s="89"/>
      <c r="H70" s="345">
        <f>F70*G70</f>
        <v>0</v>
      </c>
      <c r="I70" s="346" t="s">
        <v>738</v>
      </c>
      <c r="J70" s="347"/>
      <c r="K70" s="333"/>
      <c r="L70" s="333"/>
      <c r="M70" s="333"/>
      <c r="N70" s="333"/>
      <c r="O70" s="333"/>
      <c r="P70" s="333"/>
      <c r="Q70" s="333"/>
      <c r="R70" s="334"/>
      <c r="S70" s="333"/>
      <c r="T70" s="333"/>
      <c r="U70" s="333"/>
      <c r="V70" s="333"/>
      <c r="W70" s="333"/>
      <c r="X70" s="333"/>
      <c r="Y70" s="333"/>
      <c r="Z70" s="333"/>
      <c r="AA70" s="333"/>
      <c r="AB70" s="333"/>
      <c r="AC70" s="333"/>
      <c r="AD70" s="333"/>
      <c r="AE70" s="333"/>
      <c r="AF70" s="333"/>
      <c r="AG70" s="333"/>
      <c r="AH70" s="333"/>
      <c r="AI70" s="333"/>
      <c r="AJ70" s="333"/>
      <c r="AK70" s="333"/>
      <c r="AL70" s="333"/>
      <c r="AM70" s="333"/>
      <c r="AN70" s="333"/>
      <c r="AO70" s="333"/>
      <c r="AP70" s="333"/>
      <c r="AQ70" s="333"/>
      <c r="AR70" s="333"/>
      <c r="AS70" s="333"/>
      <c r="AT70" s="333"/>
      <c r="AU70" s="333"/>
      <c r="AV70" s="333"/>
      <c r="AW70" s="333"/>
      <c r="AX70" s="333"/>
      <c r="AY70" s="333"/>
      <c r="AZ70" s="333"/>
      <c r="BA70" s="333"/>
      <c r="BB70" s="333"/>
      <c r="BC70" s="333"/>
      <c r="BD70" s="333"/>
      <c r="BE70" s="333"/>
      <c r="BF70" s="333"/>
      <c r="BG70" s="333"/>
      <c r="BH70" s="333"/>
      <c r="BI70" s="333"/>
      <c r="BJ70" s="333"/>
      <c r="BK70" s="333"/>
      <c r="BL70" s="333"/>
      <c r="BM70" s="333"/>
      <c r="BN70" s="333"/>
      <c r="BO70" s="333"/>
      <c r="BP70" s="333"/>
      <c r="BQ70" s="333"/>
      <c r="BR70" s="333"/>
      <c r="BS70" s="333"/>
      <c r="BT70" s="333"/>
      <c r="BU70" s="333"/>
      <c r="BV70" s="333"/>
      <c r="BW70" s="333"/>
      <c r="BX70" s="333"/>
      <c r="BY70" s="333"/>
      <c r="BZ70" s="333"/>
      <c r="CA70" s="333"/>
      <c r="CB70" s="333"/>
      <c r="CC70" s="333"/>
      <c r="CD70" s="333"/>
      <c r="CE70" s="333"/>
      <c r="CF70" s="333"/>
      <c r="CG70" s="333"/>
      <c r="CH70" s="333"/>
      <c r="CI70" s="333"/>
      <c r="CJ70" s="333"/>
      <c r="CK70" s="333"/>
      <c r="CL70" s="333"/>
      <c r="CM70" s="333"/>
      <c r="CN70" s="333"/>
      <c r="CO70" s="333"/>
      <c r="CP70" s="333"/>
      <c r="CQ70" s="333"/>
      <c r="CR70" s="333"/>
      <c r="CS70" s="333"/>
      <c r="CT70" s="333"/>
      <c r="CU70" s="333"/>
      <c r="CV70" s="333"/>
      <c r="CW70" s="333"/>
      <c r="CX70" s="333"/>
      <c r="CY70" s="333"/>
      <c r="CZ70" s="333"/>
      <c r="DA70" s="333"/>
      <c r="DB70" s="333"/>
      <c r="DC70" s="333"/>
      <c r="DD70" s="333"/>
      <c r="DE70" s="333"/>
      <c r="DF70" s="333"/>
      <c r="DG70" s="333"/>
      <c r="DH70" s="333"/>
      <c r="DI70" s="333"/>
      <c r="DJ70" s="333"/>
      <c r="DK70" s="333"/>
      <c r="DL70" s="333"/>
      <c r="DM70" s="333"/>
      <c r="DN70" s="333"/>
      <c r="DO70" s="333"/>
      <c r="DP70" s="333"/>
      <c r="DQ70" s="333"/>
      <c r="DR70" s="333"/>
      <c r="DS70" s="333"/>
      <c r="DT70" s="333"/>
      <c r="DU70" s="333"/>
    </row>
    <row r="71" spans="1:125" s="341" customFormat="1" ht="13.5" customHeight="1">
      <c r="A71" s="343"/>
      <c r="B71" s="348"/>
      <c r="C71" s="87"/>
      <c r="D71" s="118" t="s">
        <v>718</v>
      </c>
      <c r="E71" s="348"/>
      <c r="F71" s="349">
        <f>(7.25)*1.7</f>
        <v>12.324999999999999</v>
      </c>
      <c r="G71" s="350"/>
      <c r="H71" s="345"/>
      <c r="I71" s="346"/>
      <c r="J71" s="351"/>
      <c r="K71" s="339"/>
      <c r="L71" s="339"/>
      <c r="M71" s="339"/>
      <c r="N71" s="339"/>
      <c r="O71" s="339"/>
      <c r="P71" s="339"/>
      <c r="Q71" s="339"/>
      <c r="R71" s="339"/>
      <c r="S71" s="339"/>
      <c r="T71" s="339"/>
      <c r="U71" s="339"/>
      <c r="V71" s="339"/>
      <c r="W71" s="339"/>
      <c r="X71" s="339"/>
      <c r="Y71" s="339"/>
      <c r="Z71" s="339"/>
      <c r="AA71" s="339"/>
      <c r="AB71" s="339"/>
      <c r="AC71" s="339"/>
      <c r="AD71" s="339"/>
      <c r="AE71" s="339"/>
      <c r="AF71" s="339"/>
      <c r="AG71" s="339"/>
      <c r="AH71" s="339"/>
      <c r="AI71" s="339"/>
      <c r="AJ71" s="339"/>
      <c r="AK71" s="339"/>
      <c r="AL71" s="339"/>
      <c r="AM71" s="339"/>
      <c r="AN71" s="339"/>
      <c r="AO71" s="339"/>
      <c r="AP71" s="339"/>
      <c r="AQ71" s="339"/>
      <c r="AR71" s="339"/>
      <c r="AS71" s="339"/>
      <c r="AT71" s="339"/>
      <c r="AU71" s="339"/>
      <c r="AV71" s="339"/>
      <c r="AW71" s="339"/>
      <c r="AX71" s="339"/>
      <c r="AY71" s="339"/>
      <c r="AZ71" s="339"/>
      <c r="BA71" s="339"/>
      <c r="BB71" s="339"/>
      <c r="BC71" s="339"/>
      <c r="BD71" s="339"/>
      <c r="BE71" s="339"/>
      <c r="BF71" s="339"/>
      <c r="BG71" s="339"/>
      <c r="BH71" s="339"/>
      <c r="BI71" s="339"/>
      <c r="BJ71" s="339"/>
      <c r="BK71" s="339"/>
      <c r="BL71" s="339"/>
      <c r="BM71" s="339"/>
      <c r="BN71" s="339"/>
      <c r="BO71" s="339"/>
      <c r="BP71" s="339"/>
      <c r="BQ71" s="339"/>
      <c r="BR71" s="339"/>
      <c r="BS71" s="339"/>
      <c r="BT71" s="339"/>
      <c r="BU71" s="339"/>
      <c r="BV71" s="339"/>
      <c r="BW71" s="339"/>
      <c r="BX71" s="339"/>
      <c r="BY71" s="339"/>
      <c r="BZ71" s="339"/>
      <c r="CA71" s="339"/>
      <c r="CB71" s="339"/>
      <c r="CC71" s="339"/>
      <c r="CD71" s="339"/>
      <c r="CE71" s="339"/>
      <c r="CF71" s="339"/>
      <c r="CG71" s="339"/>
      <c r="CH71" s="339"/>
      <c r="CI71" s="339"/>
      <c r="CJ71" s="339"/>
      <c r="CK71" s="339"/>
      <c r="CL71" s="339"/>
      <c r="CM71" s="339"/>
      <c r="CN71" s="339"/>
      <c r="CO71" s="339"/>
      <c r="CP71" s="339"/>
      <c r="CQ71" s="339"/>
      <c r="CR71" s="339"/>
      <c r="CS71" s="339"/>
      <c r="CT71" s="339"/>
      <c r="CU71" s="339"/>
      <c r="CV71" s="339"/>
      <c r="CW71" s="339"/>
      <c r="CX71" s="339"/>
      <c r="CY71" s="339"/>
      <c r="CZ71" s="339"/>
      <c r="DA71" s="339"/>
      <c r="DB71" s="339"/>
      <c r="DC71" s="339"/>
      <c r="DD71" s="339"/>
      <c r="DE71" s="339"/>
      <c r="DF71" s="339"/>
      <c r="DG71" s="339"/>
      <c r="DH71" s="339"/>
      <c r="DI71" s="339"/>
      <c r="DJ71" s="339"/>
      <c r="DK71" s="339"/>
      <c r="DL71" s="339"/>
      <c r="DM71" s="339"/>
      <c r="DN71" s="339"/>
      <c r="DO71" s="339"/>
      <c r="DP71" s="339"/>
      <c r="DQ71" s="339"/>
      <c r="DR71" s="339"/>
      <c r="DS71" s="339"/>
      <c r="DT71" s="339"/>
      <c r="DU71" s="339"/>
    </row>
    <row r="72" spans="1:125" s="541" customFormat="1" ht="27" customHeight="1">
      <c r="A72" s="564" t="s">
        <v>275</v>
      </c>
      <c r="B72" s="536" t="s">
        <v>126</v>
      </c>
      <c r="C72" s="537">
        <v>181111121</v>
      </c>
      <c r="D72" s="537" t="s">
        <v>127</v>
      </c>
      <c r="E72" s="537" t="s">
        <v>98</v>
      </c>
      <c r="F72" s="565">
        <f>SUM(F73:F74)</f>
        <v>58.515200000000007</v>
      </c>
      <c r="G72" s="90"/>
      <c r="H72" s="539">
        <f>F72*G72</f>
        <v>0</v>
      </c>
      <c r="I72" s="533" t="s">
        <v>738</v>
      </c>
      <c r="J72" s="566"/>
      <c r="K72" s="452"/>
      <c r="L72" s="452"/>
      <c r="M72" s="452"/>
      <c r="N72" s="452"/>
      <c r="O72" s="452"/>
      <c r="P72" s="452"/>
      <c r="Q72" s="452"/>
      <c r="R72" s="452"/>
      <c r="S72" s="452"/>
      <c r="T72" s="452"/>
      <c r="U72" s="452"/>
      <c r="V72" s="452"/>
      <c r="W72" s="452"/>
      <c r="X72" s="452"/>
      <c r="Y72" s="452"/>
      <c r="Z72" s="452"/>
      <c r="AA72" s="452"/>
      <c r="AB72" s="452"/>
      <c r="AC72" s="452"/>
      <c r="AD72" s="452"/>
      <c r="AE72" s="452"/>
      <c r="AF72" s="452"/>
      <c r="AG72" s="452"/>
      <c r="AH72" s="452"/>
      <c r="AI72" s="452"/>
      <c r="AJ72" s="452"/>
      <c r="AK72" s="452"/>
      <c r="AL72" s="452"/>
      <c r="AM72" s="452"/>
      <c r="AN72" s="452"/>
      <c r="AO72" s="452"/>
    </row>
    <row r="73" spans="1:125" s="541" customFormat="1" ht="27" customHeight="1">
      <c r="A73" s="564"/>
      <c r="B73" s="536"/>
      <c r="C73" s="537"/>
      <c r="D73" s="542" t="s">
        <v>770</v>
      </c>
      <c r="E73" s="537"/>
      <c r="F73" s="543">
        <f>((7.8+6.2)+(9.6))*1+(3.24*3.24)*2</f>
        <v>44.595200000000006</v>
      </c>
      <c r="G73" s="539"/>
      <c r="H73" s="539"/>
      <c r="I73" s="545"/>
      <c r="J73" s="546"/>
      <c r="K73" s="567"/>
      <c r="L73" s="452"/>
      <c r="M73" s="567"/>
      <c r="N73" s="567"/>
      <c r="O73" s="452"/>
      <c r="P73" s="452"/>
      <c r="Q73" s="452"/>
      <c r="R73" s="452"/>
      <c r="S73" s="452"/>
      <c r="T73" s="452"/>
      <c r="U73" s="452"/>
      <c r="V73" s="452"/>
      <c r="W73" s="452"/>
      <c r="X73" s="452"/>
      <c r="Y73" s="452"/>
      <c r="Z73" s="452"/>
      <c r="AA73" s="452"/>
      <c r="AB73" s="452"/>
      <c r="AC73" s="452"/>
      <c r="AD73" s="452"/>
      <c r="AE73" s="452"/>
      <c r="AF73" s="452"/>
      <c r="AG73" s="452"/>
      <c r="AH73" s="452"/>
      <c r="AI73" s="452"/>
      <c r="AJ73" s="452"/>
      <c r="AK73" s="452"/>
      <c r="AL73" s="452"/>
      <c r="AM73" s="452"/>
      <c r="AN73" s="452"/>
      <c r="AO73" s="452"/>
    </row>
    <row r="74" spans="1:125" s="541" customFormat="1" ht="13.5" customHeight="1">
      <c r="A74" s="564"/>
      <c r="B74" s="536"/>
      <c r="C74" s="537"/>
      <c r="D74" s="542" t="s">
        <v>559</v>
      </c>
      <c r="E74" s="537"/>
      <c r="F74" s="543">
        <f>(27-9.6)*0.8</f>
        <v>13.92</v>
      </c>
      <c r="G74" s="539"/>
      <c r="H74" s="539"/>
      <c r="I74" s="545"/>
      <c r="J74" s="567"/>
      <c r="K74" s="567"/>
      <c r="L74" s="452"/>
      <c r="M74" s="567"/>
      <c r="N74" s="567"/>
      <c r="O74" s="452"/>
      <c r="P74" s="452"/>
      <c r="Q74" s="452"/>
      <c r="R74" s="452"/>
      <c r="S74" s="452"/>
      <c r="T74" s="452"/>
      <c r="U74" s="452"/>
      <c r="V74" s="452"/>
      <c r="W74" s="452"/>
      <c r="X74" s="452"/>
      <c r="Y74" s="452"/>
      <c r="Z74" s="452"/>
      <c r="AA74" s="452"/>
      <c r="AB74" s="452"/>
      <c r="AC74" s="452"/>
      <c r="AD74" s="452"/>
      <c r="AE74" s="452"/>
      <c r="AF74" s="452"/>
      <c r="AG74" s="452"/>
      <c r="AH74" s="452"/>
      <c r="AI74" s="452"/>
      <c r="AJ74" s="452"/>
      <c r="AK74" s="452"/>
      <c r="AL74" s="452"/>
      <c r="AM74" s="452"/>
      <c r="AN74" s="452"/>
      <c r="AO74" s="452"/>
    </row>
    <row r="75" spans="1:125" s="541" customFormat="1" ht="13.5" customHeight="1">
      <c r="A75" s="564" t="s">
        <v>276</v>
      </c>
      <c r="B75" s="536" t="s">
        <v>96</v>
      </c>
      <c r="C75" s="537">
        <v>181311103</v>
      </c>
      <c r="D75" s="537" t="s">
        <v>223</v>
      </c>
      <c r="E75" s="537" t="s">
        <v>98</v>
      </c>
      <c r="F75" s="565">
        <f>SUM(F76:F77)</f>
        <v>44.595200000000006</v>
      </c>
      <c r="G75" s="90"/>
      <c r="H75" s="539">
        <f>F75*G75</f>
        <v>0</v>
      </c>
      <c r="I75" s="533" t="s">
        <v>738</v>
      </c>
      <c r="J75" s="764"/>
      <c r="K75" s="452"/>
      <c r="L75" s="452"/>
      <c r="M75" s="452"/>
      <c r="N75" s="452"/>
      <c r="O75" s="452"/>
      <c r="P75" s="452"/>
      <c r="Q75" s="452"/>
      <c r="R75" s="452"/>
      <c r="S75" s="452"/>
      <c r="T75" s="452"/>
      <c r="U75" s="452"/>
      <c r="V75" s="452"/>
      <c r="W75" s="452"/>
      <c r="X75" s="452"/>
      <c r="Y75" s="452"/>
      <c r="Z75" s="452"/>
      <c r="AA75" s="452"/>
      <c r="AB75" s="452"/>
      <c r="AC75" s="452"/>
      <c r="AD75" s="452"/>
      <c r="AE75" s="452"/>
      <c r="AF75" s="452"/>
      <c r="AG75" s="452"/>
      <c r="AH75" s="452"/>
      <c r="AI75" s="452"/>
      <c r="AJ75" s="452"/>
      <c r="AK75" s="452"/>
      <c r="AL75" s="452"/>
      <c r="AM75" s="452"/>
      <c r="AN75" s="452"/>
      <c r="AO75" s="452"/>
    </row>
    <row r="76" spans="1:125" s="541" customFormat="1" ht="13.5" customHeight="1">
      <c r="A76" s="564"/>
      <c r="B76" s="536"/>
      <c r="C76" s="537"/>
      <c r="D76" s="542" t="s">
        <v>771</v>
      </c>
      <c r="E76" s="537"/>
      <c r="F76" s="543">
        <f>((7.8+6.2)+(9.6))*1</f>
        <v>23.6</v>
      </c>
      <c r="G76" s="539"/>
      <c r="H76" s="539"/>
      <c r="I76" s="545"/>
      <c r="J76" s="546"/>
      <c r="K76" s="567"/>
      <c r="L76" s="452"/>
      <c r="M76" s="452"/>
      <c r="N76" s="452"/>
      <c r="O76" s="452"/>
      <c r="P76" s="452"/>
      <c r="Q76" s="452"/>
      <c r="R76" s="452"/>
      <c r="S76" s="452"/>
      <c r="T76" s="452"/>
      <c r="U76" s="452"/>
      <c r="V76" s="452"/>
      <c r="W76" s="452"/>
      <c r="X76" s="452"/>
      <c r="Y76" s="452"/>
      <c r="Z76" s="452"/>
      <c r="AA76" s="452"/>
      <c r="AB76" s="452"/>
      <c r="AC76" s="452"/>
      <c r="AD76" s="452"/>
      <c r="AE76" s="452"/>
      <c r="AF76" s="452"/>
      <c r="AG76" s="452"/>
      <c r="AH76" s="452"/>
      <c r="AI76" s="452"/>
      <c r="AJ76" s="452"/>
      <c r="AK76" s="452"/>
      <c r="AL76" s="452"/>
      <c r="AM76" s="452"/>
      <c r="AN76" s="452"/>
      <c r="AO76" s="452"/>
    </row>
    <row r="77" spans="1:125" s="541" customFormat="1" ht="13.5" customHeight="1">
      <c r="A77" s="564"/>
      <c r="B77" s="536"/>
      <c r="C77" s="537"/>
      <c r="D77" s="542" t="s">
        <v>719</v>
      </c>
      <c r="E77" s="537"/>
      <c r="F77" s="543">
        <f>(3.24*3.24)*2</f>
        <v>20.995200000000004</v>
      </c>
      <c r="G77" s="539"/>
      <c r="H77" s="539"/>
      <c r="I77" s="545"/>
      <c r="J77" s="546"/>
      <c r="K77" s="567"/>
      <c r="L77" s="452"/>
      <c r="M77" s="452"/>
      <c r="N77" s="452"/>
      <c r="O77" s="452"/>
      <c r="P77" s="452"/>
      <c r="Q77" s="452"/>
      <c r="R77" s="452"/>
      <c r="S77" s="452"/>
      <c r="T77" s="452"/>
      <c r="U77" s="452"/>
      <c r="V77" s="452"/>
      <c r="W77" s="452"/>
      <c r="X77" s="452"/>
      <c r="Y77" s="452"/>
      <c r="Z77" s="452"/>
      <c r="AA77" s="452"/>
      <c r="AB77" s="452"/>
      <c r="AC77" s="452"/>
      <c r="AD77" s="452"/>
      <c r="AE77" s="452"/>
      <c r="AF77" s="452"/>
      <c r="AG77" s="452"/>
      <c r="AH77" s="452"/>
      <c r="AI77" s="452"/>
      <c r="AJ77" s="452"/>
      <c r="AK77" s="452"/>
      <c r="AL77" s="452"/>
      <c r="AM77" s="452"/>
      <c r="AN77" s="452"/>
      <c r="AO77" s="452"/>
    </row>
    <row r="78" spans="1:125" s="541" customFormat="1" ht="13.5" customHeight="1">
      <c r="A78" s="564" t="s">
        <v>257</v>
      </c>
      <c r="B78" s="537">
        <v>231</v>
      </c>
      <c r="C78" s="537">
        <v>183403153</v>
      </c>
      <c r="D78" s="537" t="s">
        <v>212</v>
      </c>
      <c r="E78" s="537" t="s">
        <v>98</v>
      </c>
      <c r="F78" s="565">
        <f>SUM(F79:F79)</f>
        <v>44.6</v>
      </c>
      <c r="G78" s="90"/>
      <c r="H78" s="539">
        <f>F78*G78</f>
        <v>0</v>
      </c>
      <c r="I78" s="533" t="s">
        <v>738</v>
      </c>
      <c r="J78" s="568"/>
      <c r="K78" s="569"/>
      <c r="L78" s="569"/>
      <c r="M78" s="569"/>
      <c r="N78" s="569"/>
      <c r="O78" s="570"/>
      <c r="P78" s="571"/>
      <c r="Q78" s="572"/>
      <c r="R78" s="573"/>
      <c r="S78" s="573"/>
      <c r="T78" s="574"/>
      <c r="U78" s="452"/>
      <c r="V78" s="575"/>
      <c r="W78" s="452"/>
      <c r="X78" s="452"/>
      <c r="Y78" s="452"/>
      <c r="Z78" s="452"/>
      <c r="AA78" s="452"/>
      <c r="AB78" s="452"/>
      <c r="AC78" s="452"/>
      <c r="AD78" s="452"/>
      <c r="AE78" s="452"/>
      <c r="AF78" s="452"/>
      <c r="AG78" s="452"/>
      <c r="AH78" s="452"/>
      <c r="AI78" s="452"/>
      <c r="AJ78" s="452"/>
      <c r="AK78" s="452"/>
      <c r="AL78" s="452"/>
      <c r="AM78" s="452"/>
      <c r="AN78" s="452"/>
      <c r="AO78" s="452"/>
    </row>
    <row r="79" spans="1:125" s="541" customFormat="1" ht="13.5" customHeight="1">
      <c r="A79" s="564"/>
      <c r="B79" s="576"/>
      <c r="C79" s="576"/>
      <c r="D79" s="542" t="s">
        <v>772</v>
      </c>
      <c r="E79" s="576"/>
      <c r="F79" s="543">
        <f>(44.6)*1</f>
        <v>44.6</v>
      </c>
      <c r="G79" s="577"/>
      <c r="H79" s="539"/>
      <c r="I79" s="545"/>
      <c r="J79" s="567"/>
      <c r="K79" s="567"/>
      <c r="L79" s="578"/>
      <c r="M79" s="569"/>
      <c r="N79" s="569"/>
      <c r="O79" s="570"/>
      <c r="P79" s="571"/>
      <c r="Q79" s="572"/>
      <c r="R79" s="573"/>
      <c r="S79" s="573"/>
      <c r="T79" s="574"/>
      <c r="U79" s="452"/>
      <c r="V79" s="575"/>
      <c r="W79" s="452"/>
      <c r="X79" s="452"/>
      <c r="Y79" s="452"/>
      <c r="Z79" s="452"/>
      <c r="AA79" s="452"/>
      <c r="AB79" s="452"/>
      <c r="AC79" s="452"/>
      <c r="AD79" s="452"/>
      <c r="AE79" s="452"/>
      <c r="AF79" s="452"/>
      <c r="AG79" s="452"/>
      <c r="AH79" s="452"/>
      <c r="AI79" s="452"/>
      <c r="AJ79" s="452"/>
      <c r="AK79" s="452"/>
      <c r="AL79" s="452"/>
      <c r="AM79" s="452"/>
      <c r="AN79" s="452"/>
      <c r="AO79" s="452"/>
    </row>
    <row r="80" spans="1:125" s="541" customFormat="1" ht="13.5" customHeight="1">
      <c r="A80" s="564" t="s">
        <v>121</v>
      </c>
      <c r="B80" s="537">
        <v>231</v>
      </c>
      <c r="C80" s="537">
        <v>183403161</v>
      </c>
      <c r="D80" s="537" t="s">
        <v>213</v>
      </c>
      <c r="E80" s="537" t="s">
        <v>98</v>
      </c>
      <c r="F80" s="565">
        <f>SUM(F81:F81)</f>
        <v>44.6</v>
      </c>
      <c r="G80" s="90"/>
      <c r="H80" s="539">
        <f>F80*G80</f>
        <v>0</v>
      </c>
      <c r="I80" s="533" t="s">
        <v>738</v>
      </c>
      <c r="J80" s="568"/>
      <c r="K80" s="569"/>
      <c r="L80" s="569"/>
      <c r="M80" s="569"/>
      <c r="N80" s="569"/>
      <c r="O80" s="570"/>
      <c r="P80" s="571"/>
      <c r="Q80" s="572"/>
      <c r="R80" s="573"/>
      <c r="S80" s="573"/>
      <c r="T80" s="574"/>
      <c r="U80" s="452"/>
      <c r="V80" s="575"/>
      <c r="W80" s="452"/>
      <c r="X80" s="452"/>
      <c r="Y80" s="452"/>
      <c r="Z80" s="452"/>
      <c r="AA80" s="452"/>
      <c r="AB80" s="452"/>
      <c r="AC80" s="452"/>
      <c r="AD80" s="452"/>
      <c r="AE80" s="452"/>
      <c r="AF80" s="452"/>
      <c r="AG80" s="452"/>
      <c r="AH80" s="452"/>
      <c r="AI80" s="452"/>
      <c r="AJ80" s="452"/>
      <c r="AK80" s="452"/>
      <c r="AL80" s="452"/>
      <c r="AM80" s="452"/>
      <c r="AN80" s="452"/>
      <c r="AO80" s="452"/>
    </row>
    <row r="81" spans="1:41" s="541" customFormat="1" ht="13.5" customHeight="1">
      <c r="A81" s="564"/>
      <c r="B81" s="537"/>
      <c r="C81" s="537"/>
      <c r="D81" s="542" t="s">
        <v>773</v>
      </c>
      <c r="E81" s="576"/>
      <c r="F81" s="543">
        <f>(44.6)*1</f>
        <v>44.6</v>
      </c>
      <c r="G81" s="539"/>
      <c r="H81" s="539"/>
      <c r="I81" s="545"/>
      <c r="J81" s="567"/>
      <c r="K81" s="567"/>
      <c r="L81" s="569"/>
      <c r="M81" s="569"/>
      <c r="N81" s="569"/>
      <c r="O81" s="570"/>
      <c r="P81" s="571"/>
      <c r="Q81" s="572"/>
      <c r="R81" s="573"/>
      <c r="S81" s="573"/>
      <c r="T81" s="574"/>
      <c r="U81" s="452"/>
      <c r="V81" s="575"/>
      <c r="W81" s="452"/>
      <c r="X81" s="452"/>
      <c r="Y81" s="452"/>
      <c r="Z81" s="452"/>
      <c r="AA81" s="452"/>
      <c r="AB81" s="452"/>
      <c r="AC81" s="452"/>
      <c r="AD81" s="452"/>
      <c r="AE81" s="452"/>
      <c r="AF81" s="452"/>
      <c r="AG81" s="452"/>
      <c r="AH81" s="452"/>
      <c r="AI81" s="452"/>
      <c r="AJ81" s="452"/>
      <c r="AK81" s="452"/>
      <c r="AL81" s="452"/>
      <c r="AM81" s="452"/>
      <c r="AN81" s="452"/>
      <c r="AO81" s="452"/>
    </row>
    <row r="82" spans="1:41" s="541" customFormat="1" ht="27" customHeight="1">
      <c r="A82" s="535">
        <v>25</v>
      </c>
      <c r="B82" s="536" t="s">
        <v>126</v>
      </c>
      <c r="C82" s="537">
        <v>183451351</v>
      </c>
      <c r="D82" s="579" t="s">
        <v>226</v>
      </c>
      <c r="E82" s="537" t="s">
        <v>98</v>
      </c>
      <c r="F82" s="565">
        <f>SUM(F83)</f>
        <v>44.595200000000006</v>
      </c>
      <c r="G82" s="90"/>
      <c r="H82" s="539">
        <f>F82*G82</f>
        <v>0</v>
      </c>
      <c r="I82" s="533" t="s">
        <v>738</v>
      </c>
      <c r="J82" s="580"/>
      <c r="K82" s="581"/>
      <c r="L82" s="582"/>
      <c r="M82" s="582"/>
      <c r="N82" s="583"/>
      <c r="O82" s="582"/>
      <c r="P82" s="584"/>
      <c r="Q82" s="585"/>
      <c r="R82" s="586"/>
      <c r="S82" s="452"/>
      <c r="T82" s="452"/>
      <c r="U82" s="452"/>
      <c r="V82" s="587"/>
      <c r="W82" s="452"/>
      <c r="X82" s="452"/>
      <c r="Y82" s="452"/>
      <c r="Z82" s="452"/>
      <c r="AA82" s="452"/>
      <c r="AB82" s="452"/>
      <c r="AC82" s="452"/>
      <c r="AD82" s="452"/>
      <c r="AE82" s="452"/>
      <c r="AF82" s="452"/>
      <c r="AG82" s="452"/>
      <c r="AH82" s="452"/>
      <c r="AI82" s="452"/>
      <c r="AJ82" s="452"/>
      <c r="AK82" s="452"/>
      <c r="AL82" s="452"/>
      <c r="AM82" s="452"/>
      <c r="AN82" s="452"/>
      <c r="AO82" s="452"/>
    </row>
    <row r="83" spans="1:41" s="541" customFormat="1" ht="27" customHeight="1">
      <c r="A83" s="588"/>
      <c r="B83" s="589"/>
      <c r="C83" s="589"/>
      <c r="D83" s="542" t="s">
        <v>774</v>
      </c>
      <c r="E83" s="537"/>
      <c r="F83" s="543">
        <f>((7.8+6.2)+(9.6))*1+(3.24*3.24)*2</f>
        <v>44.595200000000006</v>
      </c>
      <c r="G83" s="590"/>
      <c r="H83" s="590"/>
      <c r="I83" s="591"/>
      <c r="J83" s="580"/>
      <c r="K83" s="581"/>
      <c r="L83" s="582"/>
      <c r="M83" s="582"/>
      <c r="N83" s="583"/>
      <c r="O83" s="582"/>
      <c r="P83" s="584"/>
      <c r="Q83" s="585"/>
      <c r="R83" s="586"/>
      <c r="S83" s="452"/>
      <c r="T83" s="452"/>
      <c r="U83" s="452"/>
      <c r="V83" s="587"/>
      <c r="W83" s="452"/>
      <c r="X83" s="452"/>
      <c r="Y83" s="452"/>
      <c r="Z83" s="452"/>
      <c r="AA83" s="452"/>
      <c r="AB83" s="452"/>
      <c r="AC83" s="452"/>
      <c r="AD83" s="452"/>
      <c r="AE83" s="452"/>
      <c r="AF83" s="452"/>
      <c r="AG83" s="452"/>
      <c r="AH83" s="452"/>
      <c r="AI83" s="452"/>
      <c r="AJ83" s="452"/>
      <c r="AK83" s="452"/>
      <c r="AL83" s="452"/>
      <c r="AM83" s="452"/>
      <c r="AN83" s="452"/>
      <c r="AO83" s="452"/>
    </row>
    <row r="84" spans="1:41" s="541" customFormat="1" ht="13.5" customHeight="1">
      <c r="A84" s="535">
        <v>26</v>
      </c>
      <c r="B84" s="536" t="s">
        <v>126</v>
      </c>
      <c r="C84" s="537">
        <v>183451431</v>
      </c>
      <c r="D84" s="579" t="s">
        <v>227</v>
      </c>
      <c r="E84" s="537" t="s">
        <v>98</v>
      </c>
      <c r="F84" s="565">
        <f>SUM(F85)</f>
        <v>44.595200000000006</v>
      </c>
      <c r="G84" s="90"/>
      <c r="H84" s="539">
        <f>F84*G84</f>
        <v>0</v>
      </c>
      <c r="I84" s="533" t="s">
        <v>738</v>
      </c>
      <c r="J84" s="580"/>
      <c r="K84" s="581"/>
      <c r="L84" s="582"/>
      <c r="M84" s="582"/>
      <c r="N84" s="583"/>
      <c r="O84" s="582"/>
      <c r="P84" s="584"/>
      <c r="Q84" s="585"/>
      <c r="R84" s="586"/>
      <c r="S84" s="452"/>
      <c r="T84" s="452"/>
      <c r="U84" s="452"/>
      <c r="V84" s="587"/>
      <c r="W84" s="452"/>
      <c r="X84" s="452"/>
      <c r="Y84" s="452"/>
      <c r="Z84" s="452"/>
      <c r="AA84" s="452"/>
      <c r="AB84" s="452"/>
      <c r="AC84" s="452"/>
      <c r="AD84" s="452"/>
      <c r="AE84" s="452"/>
      <c r="AF84" s="452"/>
      <c r="AG84" s="452"/>
      <c r="AH84" s="452"/>
      <c r="AI84" s="452"/>
      <c r="AJ84" s="452"/>
      <c r="AK84" s="452"/>
      <c r="AL84" s="452"/>
      <c r="AM84" s="452"/>
      <c r="AN84" s="452"/>
      <c r="AO84" s="452"/>
    </row>
    <row r="85" spans="1:41" s="541" customFormat="1" ht="27" customHeight="1">
      <c r="A85" s="588"/>
      <c r="B85" s="589"/>
      <c r="C85" s="589"/>
      <c r="D85" s="542" t="s">
        <v>775</v>
      </c>
      <c r="E85" s="537"/>
      <c r="F85" s="543">
        <f>((7.8+6.2)+(9.6))*1+(3.24*3.24)*2</f>
        <v>44.595200000000006</v>
      </c>
      <c r="G85" s="590"/>
      <c r="H85" s="590"/>
      <c r="I85" s="591"/>
      <c r="J85" s="580"/>
      <c r="K85" s="581"/>
      <c r="L85" s="582"/>
      <c r="M85" s="582"/>
      <c r="N85" s="583"/>
      <c r="O85" s="582"/>
      <c r="P85" s="584"/>
      <c r="Q85" s="585"/>
      <c r="R85" s="586"/>
      <c r="S85" s="452"/>
      <c r="T85" s="452"/>
      <c r="U85" s="452"/>
      <c r="V85" s="587"/>
      <c r="W85" s="452"/>
      <c r="X85" s="452"/>
      <c r="Y85" s="452"/>
      <c r="Z85" s="452"/>
      <c r="AA85" s="452"/>
      <c r="AB85" s="452"/>
      <c r="AC85" s="452"/>
      <c r="AD85" s="452"/>
      <c r="AE85" s="452"/>
      <c r="AF85" s="452"/>
      <c r="AG85" s="452"/>
      <c r="AH85" s="452"/>
      <c r="AI85" s="452"/>
      <c r="AJ85" s="452"/>
      <c r="AK85" s="452"/>
      <c r="AL85" s="452"/>
      <c r="AM85" s="452"/>
      <c r="AN85" s="452"/>
      <c r="AO85" s="452"/>
    </row>
    <row r="86" spans="1:41" s="541" customFormat="1" ht="13.5" customHeight="1">
      <c r="A86" s="588">
        <v>27</v>
      </c>
      <c r="B86" s="589" t="s">
        <v>224</v>
      </c>
      <c r="C86" s="589" t="s">
        <v>228</v>
      </c>
      <c r="D86" s="592" t="s">
        <v>225</v>
      </c>
      <c r="E86" s="593" t="s">
        <v>220</v>
      </c>
      <c r="F86" s="594">
        <f>SUM(F87:F88)</f>
        <v>0.44600000000000001</v>
      </c>
      <c r="G86" s="91"/>
      <c r="H86" s="590">
        <f>F86*G86</f>
        <v>0</v>
      </c>
      <c r="I86" s="591" t="s">
        <v>738</v>
      </c>
      <c r="J86" s="580"/>
      <c r="K86" s="581"/>
      <c r="L86" s="582"/>
      <c r="M86" s="582"/>
      <c r="N86" s="583"/>
      <c r="O86" s="582"/>
      <c r="P86" s="584"/>
      <c r="Q86" s="585"/>
      <c r="R86" s="586"/>
      <c r="S86" s="452"/>
      <c r="T86" s="452"/>
      <c r="U86" s="452"/>
      <c r="V86" s="587"/>
      <c r="W86" s="452"/>
      <c r="X86" s="452"/>
      <c r="Y86" s="452"/>
      <c r="Z86" s="452"/>
      <c r="AA86" s="452"/>
      <c r="AB86" s="452"/>
      <c r="AC86" s="452"/>
      <c r="AD86" s="452"/>
      <c r="AE86" s="452"/>
      <c r="AF86" s="452"/>
      <c r="AG86" s="452"/>
      <c r="AH86" s="452"/>
      <c r="AI86" s="452"/>
      <c r="AJ86" s="452"/>
      <c r="AK86" s="452"/>
      <c r="AL86" s="452"/>
      <c r="AM86" s="452"/>
      <c r="AN86" s="452"/>
      <c r="AO86" s="452"/>
    </row>
    <row r="87" spans="1:41" s="541" customFormat="1" ht="27" customHeight="1">
      <c r="A87" s="595"/>
      <c r="B87" s="596"/>
      <c r="C87" s="596"/>
      <c r="D87" s="597" t="s">
        <v>776</v>
      </c>
      <c r="E87" s="593"/>
      <c r="F87" s="598">
        <f>(44.6)*0.005</f>
        <v>0.223</v>
      </c>
      <c r="G87" s="599"/>
      <c r="H87" s="599"/>
      <c r="I87" s="600"/>
      <c r="J87" s="601"/>
      <c r="K87" s="581"/>
      <c r="L87" s="582"/>
      <c r="M87" s="582"/>
      <c r="N87" s="583"/>
      <c r="O87" s="582"/>
      <c r="P87" s="584"/>
      <c r="Q87" s="585"/>
      <c r="R87" s="586"/>
      <c r="S87" s="452"/>
      <c r="T87" s="452"/>
      <c r="U87" s="452"/>
      <c r="V87" s="587"/>
      <c r="W87" s="452"/>
      <c r="X87" s="452"/>
      <c r="Y87" s="452"/>
      <c r="Z87" s="452"/>
      <c r="AA87" s="452"/>
      <c r="AB87" s="452"/>
      <c r="AC87" s="452"/>
      <c r="AD87" s="452"/>
      <c r="AE87" s="452"/>
      <c r="AF87" s="452"/>
      <c r="AG87" s="452"/>
      <c r="AH87" s="452"/>
      <c r="AI87" s="452"/>
      <c r="AJ87" s="452"/>
      <c r="AK87" s="452"/>
      <c r="AL87" s="452"/>
      <c r="AM87" s="452"/>
      <c r="AN87" s="452"/>
      <c r="AO87" s="452"/>
    </row>
    <row r="88" spans="1:41" s="541" customFormat="1" ht="27" customHeight="1">
      <c r="A88" s="595"/>
      <c r="B88" s="596"/>
      <c r="C88" s="596"/>
      <c r="D88" s="597" t="s">
        <v>777</v>
      </c>
      <c r="E88" s="593"/>
      <c r="F88" s="598">
        <f>(44.6)*0.005</f>
        <v>0.223</v>
      </c>
      <c r="G88" s="599"/>
      <c r="H88" s="599"/>
      <c r="I88" s="600"/>
      <c r="J88" s="580"/>
      <c r="K88" s="581"/>
      <c r="L88" s="582"/>
      <c r="M88" s="582"/>
      <c r="N88" s="583"/>
      <c r="O88" s="582"/>
      <c r="P88" s="584"/>
      <c r="Q88" s="585"/>
      <c r="R88" s="586"/>
      <c r="S88" s="452"/>
      <c r="T88" s="452"/>
      <c r="U88" s="452"/>
      <c r="V88" s="587"/>
      <c r="W88" s="452"/>
      <c r="X88" s="452"/>
      <c r="Y88" s="452"/>
      <c r="Z88" s="452"/>
      <c r="AA88" s="452"/>
      <c r="AB88" s="452"/>
      <c r="AC88" s="452"/>
      <c r="AD88" s="452"/>
      <c r="AE88" s="452"/>
      <c r="AF88" s="452"/>
      <c r="AG88" s="452"/>
      <c r="AH88" s="452"/>
      <c r="AI88" s="452"/>
      <c r="AJ88" s="452"/>
      <c r="AK88" s="452"/>
      <c r="AL88" s="452"/>
      <c r="AM88" s="452"/>
      <c r="AN88" s="452"/>
      <c r="AO88" s="452"/>
    </row>
    <row r="89" spans="1:41" s="541" customFormat="1" ht="27" customHeight="1">
      <c r="A89" s="535">
        <v>28</v>
      </c>
      <c r="B89" s="536" t="s">
        <v>126</v>
      </c>
      <c r="C89" s="537">
        <v>183451511</v>
      </c>
      <c r="D89" s="579" t="s">
        <v>214</v>
      </c>
      <c r="E89" s="537" t="s">
        <v>98</v>
      </c>
      <c r="F89" s="565">
        <f>SUM(F90)</f>
        <v>44.595200000000006</v>
      </c>
      <c r="G89" s="90"/>
      <c r="H89" s="539">
        <f>F89*G89</f>
        <v>0</v>
      </c>
      <c r="I89" s="545" t="s">
        <v>738</v>
      </c>
      <c r="J89" s="602"/>
      <c r="K89" s="580"/>
      <c r="L89" s="581"/>
      <c r="M89" s="582"/>
      <c r="N89" s="582"/>
      <c r="O89" s="583"/>
      <c r="P89" s="582"/>
      <c r="Q89" s="584"/>
      <c r="R89" s="585"/>
      <c r="S89" s="586"/>
      <c r="T89" s="452"/>
      <c r="U89" s="452"/>
      <c r="V89" s="452"/>
      <c r="W89" s="587"/>
      <c r="X89" s="452"/>
      <c r="Y89" s="452"/>
      <c r="Z89" s="452"/>
      <c r="AA89" s="452"/>
      <c r="AB89" s="452"/>
      <c r="AC89" s="452"/>
      <c r="AD89" s="452"/>
      <c r="AE89" s="452"/>
      <c r="AF89" s="452"/>
      <c r="AG89" s="452"/>
      <c r="AH89" s="452"/>
      <c r="AI89" s="452"/>
      <c r="AJ89" s="452"/>
      <c r="AK89" s="452"/>
      <c r="AL89" s="452"/>
      <c r="AM89" s="452"/>
      <c r="AN89" s="452"/>
      <c r="AO89" s="452"/>
    </row>
    <row r="90" spans="1:41" s="541" customFormat="1" ht="27" customHeight="1">
      <c r="A90" s="535"/>
      <c r="B90" s="536"/>
      <c r="C90" s="537"/>
      <c r="D90" s="542" t="s">
        <v>778</v>
      </c>
      <c r="E90" s="537"/>
      <c r="F90" s="543">
        <f>23.6*1+(3.24*3.24)*2</f>
        <v>44.595200000000006</v>
      </c>
      <c r="G90" s="539"/>
      <c r="H90" s="539"/>
      <c r="I90" s="545"/>
      <c r="J90" s="567"/>
      <c r="K90" s="567"/>
      <c r="L90" s="581"/>
      <c r="M90" s="603"/>
      <c r="N90" s="582"/>
      <c r="O90" s="583"/>
      <c r="P90" s="582"/>
      <c r="Q90" s="584"/>
      <c r="R90" s="585"/>
      <c r="S90" s="586"/>
      <c r="T90" s="452"/>
      <c r="U90" s="452"/>
      <c r="V90" s="452"/>
      <c r="W90" s="587"/>
      <c r="X90" s="452"/>
      <c r="Y90" s="452"/>
      <c r="Z90" s="452"/>
      <c r="AA90" s="452"/>
      <c r="AB90" s="452"/>
      <c r="AC90" s="452"/>
      <c r="AD90" s="452"/>
      <c r="AE90" s="452"/>
      <c r="AF90" s="452"/>
      <c r="AG90" s="452"/>
      <c r="AH90" s="452"/>
      <c r="AI90" s="452"/>
      <c r="AJ90" s="452"/>
      <c r="AK90" s="452"/>
      <c r="AL90" s="452"/>
      <c r="AM90" s="452"/>
      <c r="AN90" s="452"/>
      <c r="AO90" s="452"/>
    </row>
    <row r="91" spans="1:41" s="541" customFormat="1" ht="13.5" customHeight="1">
      <c r="A91" s="588">
        <v>29</v>
      </c>
      <c r="B91" s="589" t="s">
        <v>215</v>
      </c>
      <c r="C91" s="593" t="s">
        <v>216</v>
      </c>
      <c r="D91" s="592" t="s">
        <v>217</v>
      </c>
      <c r="E91" s="593" t="s">
        <v>125</v>
      </c>
      <c r="F91" s="594">
        <f>SUM(F92)</f>
        <v>0.43708000000000002</v>
      </c>
      <c r="G91" s="91"/>
      <c r="H91" s="590">
        <f>F91*G91</f>
        <v>0</v>
      </c>
      <c r="I91" s="591" t="s">
        <v>739</v>
      </c>
      <c r="J91" s="604"/>
      <c r="K91" s="580"/>
      <c r="L91" s="581"/>
      <c r="M91" s="582"/>
      <c r="N91" s="582"/>
      <c r="O91" s="452"/>
      <c r="P91" s="582"/>
      <c r="Q91" s="584"/>
      <c r="R91" s="585"/>
      <c r="S91" s="586"/>
      <c r="T91" s="452"/>
      <c r="U91" s="452"/>
      <c r="V91" s="452"/>
      <c r="W91" s="587"/>
      <c r="X91" s="452"/>
      <c r="Y91" s="452"/>
      <c r="Z91" s="452"/>
      <c r="AA91" s="452"/>
      <c r="AB91" s="452"/>
      <c r="AC91" s="452"/>
      <c r="AD91" s="452"/>
      <c r="AE91" s="452"/>
      <c r="AF91" s="452"/>
      <c r="AG91" s="452"/>
      <c r="AH91" s="452"/>
      <c r="AI91" s="452"/>
      <c r="AJ91" s="452"/>
      <c r="AK91" s="452"/>
      <c r="AL91" s="452"/>
      <c r="AM91" s="452"/>
      <c r="AN91" s="452"/>
      <c r="AO91" s="452"/>
    </row>
    <row r="92" spans="1:41" s="541" customFormat="1" ht="13.5" customHeight="1">
      <c r="A92" s="605"/>
      <c r="B92" s="606"/>
      <c r="C92" s="606"/>
      <c r="D92" s="597" t="s">
        <v>779</v>
      </c>
      <c r="E92" s="593"/>
      <c r="F92" s="598">
        <f>(44.6)*0.0098</f>
        <v>0.43708000000000002</v>
      </c>
      <c r="G92" s="607"/>
      <c r="H92" s="607"/>
      <c r="I92" s="608"/>
      <c r="J92" s="602"/>
      <c r="K92" s="580"/>
      <c r="L92" s="581"/>
      <c r="M92" s="582"/>
      <c r="N92" s="582"/>
      <c r="O92" s="583"/>
      <c r="P92" s="582"/>
      <c r="Q92" s="584"/>
      <c r="R92" s="585"/>
      <c r="S92" s="586"/>
      <c r="T92" s="452"/>
      <c r="U92" s="452"/>
      <c r="V92" s="452"/>
      <c r="W92" s="587"/>
      <c r="X92" s="452"/>
      <c r="Y92" s="452"/>
      <c r="Z92" s="452"/>
      <c r="AA92" s="452"/>
      <c r="AB92" s="452"/>
      <c r="AC92" s="452"/>
      <c r="AD92" s="452"/>
      <c r="AE92" s="452"/>
      <c r="AF92" s="452"/>
      <c r="AG92" s="452"/>
      <c r="AH92" s="452"/>
      <c r="AI92" s="452"/>
      <c r="AJ92" s="452"/>
      <c r="AK92" s="452"/>
      <c r="AL92" s="452"/>
      <c r="AM92" s="452"/>
      <c r="AN92" s="452"/>
      <c r="AO92" s="452"/>
    </row>
    <row r="93" spans="1:41" s="615" customFormat="1" ht="13.5" customHeight="1">
      <c r="A93" s="92">
        <v>30</v>
      </c>
      <c r="B93" s="93" t="s">
        <v>126</v>
      </c>
      <c r="C93" s="94" t="s">
        <v>231</v>
      </c>
      <c r="D93" s="95" t="s">
        <v>232</v>
      </c>
      <c r="E93" s="94" t="s">
        <v>98</v>
      </c>
      <c r="F93" s="96">
        <f>SUM(F94:F94)</f>
        <v>44.6</v>
      </c>
      <c r="G93" s="731"/>
      <c r="H93" s="97">
        <f>F93*G93</f>
        <v>0</v>
      </c>
      <c r="I93" s="98" t="s">
        <v>739</v>
      </c>
      <c r="J93" s="509"/>
      <c r="K93" s="509"/>
      <c r="L93" s="609"/>
      <c r="M93" s="609"/>
      <c r="N93" s="610"/>
      <c r="O93" s="611"/>
      <c r="P93" s="612"/>
      <c r="Q93" s="613"/>
      <c r="R93" s="614"/>
      <c r="S93" s="611"/>
      <c r="T93" s="611"/>
      <c r="U93" s="611"/>
      <c r="V93" s="611"/>
      <c r="W93" s="611"/>
      <c r="X93" s="611"/>
      <c r="Y93" s="611"/>
      <c r="Z93" s="611"/>
      <c r="AA93" s="611"/>
      <c r="AB93" s="611"/>
      <c r="AC93" s="611"/>
      <c r="AD93" s="611"/>
      <c r="AE93" s="611"/>
      <c r="AF93" s="611"/>
      <c r="AG93" s="611"/>
      <c r="AH93" s="611"/>
      <c r="AI93" s="611"/>
      <c r="AJ93" s="611"/>
      <c r="AK93" s="611"/>
      <c r="AL93" s="611"/>
      <c r="AM93" s="611"/>
      <c r="AN93" s="611"/>
      <c r="AO93" s="611"/>
    </row>
    <row r="94" spans="1:41" s="615" customFormat="1" ht="27" customHeight="1">
      <c r="A94" s="92"/>
      <c r="B94" s="93"/>
      <c r="C94" s="94"/>
      <c r="D94" s="99" t="s">
        <v>780</v>
      </c>
      <c r="E94" s="94"/>
      <c r="F94" s="100">
        <f>(44.6)</f>
        <v>44.6</v>
      </c>
      <c r="G94" s="97"/>
      <c r="H94" s="97"/>
      <c r="I94" s="98"/>
      <c r="J94" s="616"/>
      <c r="K94" s="617"/>
      <c r="L94" s="618"/>
      <c r="M94" s="618"/>
      <c r="N94" s="619"/>
      <c r="O94" s="618"/>
      <c r="P94" s="620"/>
      <c r="Q94" s="613"/>
      <c r="R94" s="614"/>
      <c r="S94" s="611"/>
      <c r="T94" s="611"/>
      <c r="U94" s="611"/>
      <c r="V94" s="611"/>
      <c r="W94" s="611"/>
      <c r="X94" s="611"/>
      <c r="Y94" s="611"/>
      <c r="Z94" s="611"/>
      <c r="AA94" s="611"/>
      <c r="AB94" s="611"/>
      <c r="AC94" s="611"/>
      <c r="AD94" s="611"/>
      <c r="AE94" s="611"/>
      <c r="AF94" s="611"/>
      <c r="AG94" s="611"/>
      <c r="AH94" s="611"/>
      <c r="AI94" s="611"/>
      <c r="AJ94" s="611"/>
      <c r="AK94" s="611"/>
      <c r="AL94" s="611"/>
      <c r="AM94" s="611"/>
      <c r="AN94" s="611"/>
      <c r="AO94" s="611"/>
    </row>
    <row r="95" spans="1:41" s="615" customFormat="1" ht="13.5" customHeight="1">
      <c r="A95" s="92"/>
      <c r="B95" s="93"/>
      <c r="C95" s="94"/>
      <c r="D95" s="101" t="s">
        <v>233</v>
      </c>
      <c r="E95" s="94"/>
      <c r="F95" s="102"/>
      <c r="G95" s="97"/>
      <c r="H95" s="97"/>
      <c r="I95" s="98"/>
      <c r="J95" s="611"/>
      <c r="K95" s="617"/>
      <c r="L95" s="618"/>
      <c r="M95" s="618"/>
      <c r="N95" s="619"/>
      <c r="O95" s="618"/>
      <c r="P95" s="620"/>
      <c r="Q95" s="613"/>
      <c r="R95" s="614"/>
      <c r="S95" s="611"/>
      <c r="T95" s="611"/>
      <c r="U95" s="611"/>
      <c r="V95" s="611"/>
      <c r="W95" s="611"/>
      <c r="X95" s="611"/>
      <c r="Y95" s="611"/>
      <c r="Z95" s="611"/>
      <c r="AA95" s="611"/>
      <c r="AB95" s="611"/>
      <c r="AC95" s="611"/>
      <c r="AD95" s="611"/>
      <c r="AE95" s="611"/>
      <c r="AF95" s="611"/>
      <c r="AG95" s="611"/>
      <c r="AH95" s="611"/>
      <c r="AI95" s="611"/>
      <c r="AJ95" s="611"/>
      <c r="AK95" s="611"/>
      <c r="AL95" s="611"/>
      <c r="AM95" s="611"/>
      <c r="AN95" s="611"/>
      <c r="AO95" s="611"/>
    </row>
    <row r="96" spans="1:41" s="615" customFormat="1" ht="13.5" customHeight="1">
      <c r="A96" s="103">
        <v>31</v>
      </c>
      <c r="B96" s="104" t="s">
        <v>234</v>
      </c>
      <c r="C96" s="105" t="s">
        <v>235</v>
      </c>
      <c r="D96" s="106" t="s">
        <v>236</v>
      </c>
      <c r="E96" s="105" t="s">
        <v>237</v>
      </c>
      <c r="F96" s="621">
        <f>F97</f>
        <v>4.4600000000000001E-2</v>
      </c>
      <c r="G96" s="732"/>
      <c r="H96" s="108">
        <f>F96*G96</f>
        <v>0</v>
      </c>
      <c r="I96" s="137" t="s">
        <v>739</v>
      </c>
      <c r="J96" s="622"/>
      <c r="K96" s="617"/>
      <c r="L96" s="618"/>
      <c r="M96" s="618"/>
      <c r="N96" s="619"/>
      <c r="O96" s="618"/>
      <c r="P96" s="620"/>
      <c r="Q96" s="613"/>
      <c r="R96" s="614"/>
      <c r="S96" s="611"/>
      <c r="T96" s="611"/>
      <c r="U96" s="611"/>
      <c r="V96" s="611"/>
      <c r="W96" s="611"/>
      <c r="X96" s="611"/>
      <c r="Y96" s="611"/>
      <c r="Z96" s="611"/>
      <c r="AA96" s="611"/>
      <c r="AB96" s="611"/>
      <c r="AC96" s="611"/>
      <c r="AD96" s="611"/>
      <c r="AE96" s="611"/>
      <c r="AF96" s="611"/>
      <c r="AG96" s="611"/>
      <c r="AH96" s="611"/>
      <c r="AI96" s="611"/>
      <c r="AJ96" s="611"/>
      <c r="AK96" s="611"/>
      <c r="AL96" s="611"/>
      <c r="AM96" s="611"/>
      <c r="AN96" s="611"/>
      <c r="AO96" s="611"/>
    </row>
    <row r="97" spans="1:256" s="615" customFormat="1" ht="13.5" customHeight="1">
      <c r="A97" s="109"/>
      <c r="B97" s="110"/>
      <c r="C97" s="110"/>
      <c r="D97" s="111" t="s">
        <v>781</v>
      </c>
      <c r="E97" s="112"/>
      <c r="F97" s="623">
        <f>(0.0005*(44.6))*2</f>
        <v>4.4600000000000001E-2</v>
      </c>
      <c r="G97" s="114"/>
      <c r="H97" s="114"/>
      <c r="I97" s="102"/>
      <c r="J97" s="624"/>
      <c r="K97" s="617"/>
      <c r="L97" s="618"/>
      <c r="M97" s="625"/>
      <c r="N97" s="619"/>
      <c r="O97" s="618"/>
      <c r="P97" s="620"/>
      <c r="Q97" s="613"/>
      <c r="R97" s="614"/>
      <c r="S97" s="611"/>
      <c r="T97" s="611"/>
      <c r="U97" s="611"/>
      <c r="V97" s="611"/>
      <c r="W97" s="611"/>
      <c r="X97" s="611"/>
      <c r="Y97" s="611"/>
      <c r="Z97" s="611"/>
      <c r="AA97" s="611"/>
      <c r="AB97" s="611"/>
      <c r="AC97" s="611"/>
      <c r="AD97" s="611"/>
      <c r="AE97" s="611"/>
      <c r="AF97" s="611"/>
      <c r="AG97" s="611"/>
      <c r="AH97" s="611"/>
      <c r="AI97" s="611"/>
      <c r="AJ97" s="611"/>
      <c r="AK97" s="611"/>
      <c r="AL97" s="611"/>
      <c r="AM97" s="611"/>
      <c r="AN97" s="611"/>
      <c r="AO97" s="611"/>
    </row>
    <row r="98" spans="1:256" s="541" customFormat="1" ht="27" customHeight="1">
      <c r="A98" s="564" t="s">
        <v>131</v>
      </c>
      <c r="B98" s="537">
        <v>231</v>
      </c>
      <c r="C98" s="537">
        <v>184802111</v>
      </c>
      <c r="D98" s="537" t="s">
        <v>230</v>
      </c>
      <c r="E98" s="537" t="s">
        <v>98</v>
      </c>
      <c r="F98" s="565">
        <f>SUM(F99)</f>
        <v>89.2</v>
      </c>
      <c r="G98" s="90"/>
      <c r="H98" s="539">
        <f>F98*G98</f>
        <v>0</v>
      </c>
      <c r="I98" s="545" t="s">
        <v>738</v>
      </c>
      <c r="J98" s="626"/>
      <c r="K98" s="452"/>
      <c r="L98" s="452"/>
      <c r="M98" s="569"/>
      <c r="N98" s="569"/>
      <c r="O98" s="570"/>
      <c r="P98" s="571"/>
      <c r="Q98" s="572"/>
      <c r="R98" s="573"/>
      <c r="S98" s="573"/>
      <c r="T98" s="574"/>
      <c r="U98" s="452"/>
      <c r="V98" s="575"/>
      <c r="W98" s="452"/>
      <c r="X98" s="452"/>
      <c r="Y98" s="452"/>
      <c r="Z98" s="452"/>
      <c r="AA98" s="452"/>
      <c r="AB98" s="452"/>
      <c r="AC98" s="452"/>
      <c r="AD98" s="452"/>
      <c r="AE98" s="452"/>
      <c r="AF98" s="452"/>
      <c r="AG98" s="452"/>
      <c r="AH98" s="452"/>
      <c r="AI98" s="452"/>
      <c r="AJ98" s="452"/>
      <c r="AK98" s="452"/>
      <c r="AL98" s="452"/>
      <c r="AM98" s="452"/>
      <c r="AN98" s="452"/>
      <c r="AO98" s="452"/>
    </row>
    <row r="99" spans="1:256" s="541" customFormat="1" ht="13.5" customHeight="1">
      <c r="A99" s="564"/>
      <c r="B99" s="537"/>
      <c r="C99" s="537"/>
      <c r="D99" s="542" t="s">
        <v>782</v>
      </c>
      <c r="E99" s="537"/>
      <c r="F99" s="543">
        <f>(44.6)*2</f>
        <v>89.2</v>
      </c>
      <c r="G99" s="539"/>
      <c r="H99" s="539"/>
      <c r="I99" s="545"/>
      <c r="J99" s="546"/>
      <c r="K99" s="567"/>
      <c r="L99" s="578"/>
      <c r="M99" s="569"/>
      <c r="N99" s="569"/>
      <c r="O99" s="570"/>
      <c r="P99" s="571"/>
      <c r="Q99" s="572"/>
      <c r="R99" s="573"/>
      <c r="S99" s="573"/>
      <c r="T99" s="574"/>
      <c r="U99" s="452"/>
      <c r="V99" s="575"/>
      <c r="W99" s="452"/>
      <c r="X99" s="452"/>
      <c r="Y99" s="452"/>
      <c r="Z99" s="452"/>
      <c r="AA99" s="452"/>
      <c r="AB99" s="452"/>
      <c r="AC99" s="452"/>
      <c r="AD99" s="452"/>
      <c r="AE99" s="452"/>
      <c r="AF99" s="452"/>
      <c r="AG99" s="452"/>
      <c r="AH99" s="452"/>
      <c r="AI99" s="452"/>
      <c r="AJ99" s="452"/>
      <c r="AK99" s="452"/>
      <c r="AL99" s="452"/>
      <c r="AM99" s="452"/>
      <c r="AN99" s="452"/>
      <c r="AO99" s="452"/>
    </row>
    <row r="100" spans="1:256" s="541" customFormat="1" ht="13.5" customHeight="1">
      <c r="A100" s="535">
        <v>33</v>
      </c>
      <c r="B100" s="536" t="s">
        <v>126</v>
      </c>
      <c r="C100" s="537">
        <v>185802113</v>
      </c>
      <c r="D100" s="579" t="s">
        <v>218</v>
      </c>
      <c r="E100" s="537" t="s">
        <v>125</v>
      </c>
      <c r="F100" s="627">
        <f>SUM(F101)</f>
        <v>8.92E-4</v>
      </c>
      <c r="G100" s="90"/>
      <c r="H100" s="539">
        <f>F100*G100</f>
        <v>0</v>
      </c>
      <c r="I100" s="545" t="s">
        <v>738</v>
      </c>
      <c r="J100" s="628"/>
      <c r="K100" s="580"/>
      <c r="L100" s="581"/>
      <c r="M100" s="582"/>
      <c r="N100" s="582"/>
      <c r="O100" s="583"/>
      <c r="P100" s="582"/>
      <c r="Q100" s="584"/>
      <c r="R100" s="585"/>
      <c r="S100" s="586"/>
      <c r="T100" s="452"/>
      <c r="U100" s="452"/>
      <c r="V100" s="452"/>
      <c r="W100" s="587"/>
      <c r="X100" s="452"/>
      <c r="Y100" s="452"/>
      <c r="Z100" s="452"/>
      <c r="AA100" s="452"/>
      <c r="AB100" s="452"/>
      <c r="AC100" s="452"/>
      <c r="AD100" s="452"/>
      <c r="AE100" s="452"/>
      <c r="AF100" s="452"/>
      <c r="AG100" s="452"/>
      <c r="AH100" s="452"/>
      <c r="AI100" s="452"/>
      <c r="AJ100" s="452"/>
      <c r="AK100" s="452"/>
      <c r="AL100" s="452"/>
      <c r="AM100" s="452"/>
      <c r="AN100" s="452"/>
      <c r="AO100" s="452"/>
    </row>
    <row r="101" spans="1:256" s="541" customFormat="1" ht="13.5" customHeight="1">
      <c r="A101" s="535"/>
      <c r="B101" s="536"/>
      <c r="C101" s="537"/>
      <c r="D101" s="542" t="s">
        <v>783</v>
      </c>
      <c r="E101" s="537"/>
      <c r="F101" s="629">
        <f>((44.6)*0.02)/1000</f>
        <v>8.92E-4</v>
      </c>
      <c r="G101" s="539"/>
      <c r="H101" s="539"/>
      <c r="I101" s="545"/>
      <c r="J101" s="630"/>
      <c r="K101" s="580"/>
      <c r="L101" s="581"/>
      <c r="M101" s="582"/>
      <c r="N101" s="582"/>
      <c r="O101" s="583"/>
      <c r="P101" s="582"/>
      <c r="Q101" s="584"/>
      <c r="R101" s="585"/>
      <c r="S101" s="586"/>
      <c r="T101" s="452"/>
      <c r="U101" s="452"/>
      <c r="V101" s="452"/>
      <c r="W101" s="587"/>
      <c r="X101" s="452"/>
      <c r="Y101" s="452"/>
      <c r="Z101" s="452"/>
      <c r="AA101" s="452"/>
      <c r="AB101" s="452"/>
      <c r="AC101" s="452"/>
      <c r="AD101" s="452"/>
      <c r="AE101" s="452"/>
      <c r="AF101" s="452"/>
      <c r="AG101" s="452"/>
      <c r="AH101" s="452"/>
      <c r="AI101" s="452"/>
      <c r="AJ101" s="452"/>
      <c r="AK101" s="452"/>
      <c r="AL101" s="452"/>
      <c r="AM101" s="452"/>
      <c r="AN101" s="452"/>
      <c r="AO101" s="452"/>
    </row>
    <row r="102" spans="1:256" s="541" customFormat="1" ht="13.5" customHeight="1">
      <c r="A102" s="588">
        <v>34</v>
      </c>
      <c r="B102" s="589" t="s">
        <v>219</v>
      </c>
      <c r="C102" s="593">
        <v>25191155</v>
      </c>
      <c r="D102" s="592" t="s">
        <v>564</v>
      </c>
      <c r="E102" s="593" t="s">
        <v>220</v>
      </c>
      <c r="F102" s="594">
        <f>SUM(F103:F103)</f>
        <v>0.89200000000000002</v>
      </c>
      <c r="G102" s="91"/>
      <c r="H102" s="590">
        <f>F102*G102</f>
        <v>0</v>
      </c>
      <c r="I102" s="591" t="s">
        <v>738</v>
      </c>
      <c r="J102" s="630"/>
      <c r="K102" s="580"/>
      <c r="L102" s="581"/>
      <c r="M102" s="582"/>
      <c r="N102" s="582"/>
      <c r="O102" s="583"/>
      <c r="P102" s="582"/>
      <c r="Q102" s="584"/>
      <c r="R102" s="585"/>
      <c r="S102" s="586"/>
      <c r="T102" s="452"/>
      <c r="U102" s="452"/>
      <c r="V102" s="452"/>
      <c r="W102" s="587"/>
      <c r="X102" s="452"/>
      <c r="Y102" s="452"/>
      <c r="Z102" s="452"/>
      <c r="AA102" s="452"/>
      <c r="AB102" s="452"/>
      <c r="AC102" s="452"/>
      <c r="AD102" s="452"/>
      <c r="AE102" s="452"/>
      <c r="AF102" s="452"/>
      <c r="AG102" s="452"/>
      <c r="AH102" s="452"/>
      <c r="AI102" s="452"/>
      <c r="AJ102" s="452"/>
      <c r="AK102" s="452"/>
      <c r="AL102" s="452"/>
      <c r="AM102" s="452"/>
      <c r="AN102" s="452"/>
      <c r="AO102" s="452"/>
    </row>
    <row r="103" spans="1:256" s="541" customFormat="1" ht="13.5" customHeight="1">
      <c r="A103" s="605"/>
      <c r="B103" s="606"/>
      <c r="C103" s="606"/>
      <c r="D103" s="597" t="s">
        <v>784</v>
      </c>
      <c r="E103" s="593"/>
      <c r="F103" s="598">
        <f>(44.6)*0.02</f>
        <v>0.89200000000000002</v>
      </c>
      <c r="G103" s="607"/>
      <c r="H103" s="607"/>
      <c r="I103" s="608"/>
      <c r="J103" s="628"/>
      <c r="K103" s="580"/>
      <c r="L103" s="581"/>
      <c r="M103" s="582"/>
      <c r="N103" s="582"/>
      <c r="O103" s="583"/>
      <c r="P103" s="582"/>
      <c r="Q103" s="584"/>
      <c r="R103" s="585"/>
      <c r="S103" s="586"/>
      <c r="T103" s="452"/>
      <c r="U103" s="452"/>
      <c r="V103" s="452"/>
      <c r="W103" s="587"/>
      <c r="X103" s="452"/>
      <c r="Y103" s="452"/>
      <c r="Z103" s="452"/>
      <c r="AA103" s="452"/>
      <c r="AB103" s="452"/>
      <c r="AC103" s="452"/>
      <c r="AD103" s="452"/>
      <c r="AE103" s="452"/>
      <c r="AF103" s="452"/>
      <c r="AG103" s="452"/>
      <c r="AH103" s="452"/>
      <c r="AI103" s="452"/>
      <c r="AJ103" s="452"/>
      <c r="AK103" s="452"/>
      <c r="AL103" s="452"/>
      <c r="AM103" s="452"/>
      <c r="AN103" s="452"/>
      <c r="AO103" s="452"/>
    </row>
    <row r="104" spans="1:256" s="541" customFormat="1" ht="13.5" customHeight="1">
      <c r="A104" s="564" t="s">
        <v>192</v>
      </c>
      <c r="B104" s="537">
        <v>231</v>
      </c>
      <c r="C104" s="537">
        <v>185803111</v>
      </c>
      <c r="D104" s="537" t="s">
        <v>221</v>
      </c>
      <c r="E104" s="537" t="s">
        <v>98</v>
      </c>
      <c r="F104" s="565">
        <f>SUM(F105)</f>
        <v>44.6</v>
      </c>
      <c r="G104" s="90"/>
      <c r="H104" s="539">
        <f>F104*G104</f>
        <v>0</v>
      </c>
      <c r="I104" s="545" t="s">
        <v>738</v>
      </c>
      <c r="J104" s="569"/>
      <c r="K104" s="569"/>
      <c r="L104" s="569"/>
      <c r="M104" s="569"/>
      <c r="N104" s="569"/>
      <c r="O104" s="570"/>
      <c r="P104" s="571"/>
      <c r="Q104" s="572"/>
      <c r="R104" s="573"/>
      <c r="S104" s="573"/>
      <c r="T104" s="574"/>
      <c r="U104" s="452"/>
      <c r="V104" s="575"/>
      <c r="W104" s="452"/>
      <c r="X104" s="452"/>
      <c r="Y104" s="452"/>
      <c r="Z104" s="452"/>
      <c r="AA104" s="452"/>
      <c r="AB104" s="452"/>
      <c r="AC104" s="452"/>
      <c r="AD104" s="452"/>
      <c r="AE104" s="452"/>
      <c r="AF104" s="452"/>
      <c r="AG104" s="452"/>
      <c r="AH104" s="452"/>
      <c r="AI104" s="452"/>
      <c r="AJ104" s="452"/>
      <c r="AK104" s="452"/>
      <c r="AL104" s="452"/>
      <c r="AM104" s="452"/>
      <c r="AN104" s="452"/>
      <c r="AO104" s="452"/>
    </row>
    <row r="105" spans="1:256" s="541" customFormat="1" ht="13.5" customHeight="1">
      <c r="A105" s="564"/>
      <c r="B105" s="537"/>
      <c r="C105" s="537"/>
      <c r="D105" s="542" t="s">
        <v>785</v>
      </c>
      <c r="E105" s="537"/>
      <c r="F105" s="543">
        <f>44.6</f>
        <v>44.6</v>
      </c>
      <c r="G105" s="539"/>
      <c r="H105" s="539"/>
      <c r="I105" s="545"/>
      <c r="J105" s="567"/>
      <c r="K105" s="567"/>
      <c r="L105" s="569"/>
      <c r="M105" s="569"/>
      <c r="N105" s="569"/>
      <c r="O105" s="570"/>
      <c r="P105" s="571"/>
      <c r="Q105" s="572"/>
      <c r="R105" s="573"/>
      <c r="S105" s="573"/>
      <c r="T105" s="574"/>
      <c r="U105" s="452"/>
      <c r="V105" s="575"/>
      <c r="W105" s="452"/>
      <c r="X105" s="452"/>
      <c r="Y105" s="452"/>
      <c r="Z105" s="452"/>
      <c r="AA105" s="452"/>
      <c r="AB105" s="452"/>
      <c r="AC105" s="452"/>
      <c r="AD105" s="452"/>
      <c r="AE105" s="452"/>
      <c r="AF105" s="452"/>
      <c r="AG105" s="452"/>
      <c r="AH105" s="452"/>
      <c r="AI105" s="452"/>
      <c r="AJ105" s="452"/>
      <c r="AK105" s="452"/>
      <c r="AL105" s="452"/>
      <c r="AM105" s="452"/>
      <c r="AN105" s="452"/>
      <c r="AO105" s="452"/>
    </row>
    <row r="106" spans="1:256" s="647" customFormat="1" ht="13.5" customHeight="1">
      <c r="A106" s="631">
        <v>36</v>
      </c>
      <c r="B106" s="632" t="s">
        <v>126</v>
      </c>
      <c r="C106" s="633">
        <v>185804312</v>
      </c>
      <c r="D106" s="634" t="s">
        <v>389</v>
      </c>
      <c r="E106" s="633" t="s">
        <v>122</v>
      </c>
      <c r="F106" s="635">
        <f>SUM(F107:F107)</f>
        <v>0.66900000000000004</v>
      </c>
      <c r="G106" s="733"/>
      <c r="H106" s="636">
        <f>F106*G106</f>
        <v>0</v>
      </c>
      <c r="I106" s="545" t="s">
        <v>738</v>
      </c>
      <c r="J106" s="637"/>
      <c r="K106" s="638"/>
      <c r="L106" s="639"/>
      <c r="M106" s="640"/>
      <c r="N106" s="641"/>
      <c r="O106" s="642"/>
      <c r="P106" s="641"/>
      <c r="Q106" s="643"/>
      <c r="R106" s="644"/>
      <c r="S106" s="645"/>
      <c r="T106" s="646"/>
      <c r="U106" s="646"/>
      <c r="V106" s="646"/>
      <c r="W106" s="646"/>
      <c r="X106" s="646"/>
      <c r="Y106" s="646"/>
      <c r="Z106" s="646"/>
      <c r="AA106" s="646"/>
      <c r="AB106" s="646"/>
      <c r="AC106" s="646"/>
      <c r="AD106" s="646"/>
      <c r="AE106" s="646"/>
      <c r="AF106" s="646"/>
      <c r="AG106" s="646"/>
      <c r="AH106" s="646"/>
      <c r="AI106" s="646"/>
      <c r="AJ106" s="646"/>
      <c r="AK106" s="646"/>
      <c r="AL106" s="646"/>
      <c r="AM106" s="646"/>
      <c r="AN106" s="646"/>
      <c r="AO106" s="646"/>
    </row>
    <row r="107" spans="1:256" s="647" customFormat="1" ht="13.5" customHeight="1">
      <c r="A107" s="648"/>
      <c r="B107" s="649"/>
      <c r="C107" s="649"/>
      <c r="D107" s="650" t="s">
        <v>786</v>
      </c>
      <c r="E107" s="633"/>
      <c r="F107" s="651">
        <f>0.015*(44.6)</f>
        <v>0.66900000000000004</v>
      </c>
      <c r="G107" s="652"/>
      <c r="H107" s="652"/>
      <c r="I107" s="653"/>
      <c r="J107" s="654"/>
      <c r="K107" s="638"/>
      <c r="L107" s="639"/>
      <c r="M107" s="641"/>
      <c r="N107" s="641"/>
      <c r="O107" s="642"/>
      <c r="P107" s="641"/>
      <c r="Q107" s="643"/>
      <c r="R107" s="644"/>
      <c r="S107" s="645"/>
      <c r="T107" s="646"/>
      <c r="U107" s="646"/>
      <c r="V107" s="646"/>
      <c r="W107" s="646"/>
      <c r="X107" s="646"/>
      <c r="Y107" s="646"/>
      <c r="Z107" s="646"/>
      <c r="AA107" s="646"/>
      <c r="AB107" s="646"/>
      <c r="AC107" s="646"/>
      <c r="AD107" s="646"/>
      <c r="AE107" s="646"/>
      <c r="AF107" s="646"/>
      <c r="AG107" s="646"/>
      <c r="AH107" s="646"/>
      <c r="AI107" s="646"/>
      <c r="AJ107" s="646"/>
      <c r="AK107" s="646"/>
      <c r="AL107" s="646"/>
      <c r="AM107" s="646"/>
      <c r="AN107" s="646"/>
      <c r="AO107" s="646"/>
    </row>
    <row r="108" spans="1:256" ht="13.5" customHeight="1">
      <c r="A108" s="655"/>
      <c r="B108" s="656"/>
      <c r="C108" s="656">
        <v>8</v>
      </c>
      <c r="D108" s="657" t="s">
        <v>166</v>
      </c>
      <c r="E108" s="656"/>
      <c r="F108" s="658"/>
      <c r="G108" s="659"/>
      <c r="H108" s="659">
        <f>SUM(H109:H122)</f>
        <v>0</v>
      </c>
      <c r="I108" s="660"/>
      <c r="J108" s="661"/>
      <c r="K108" s="661"/>
      <c r="L108" s="661"/>
      <c r="M108" s="661"/>
      <c r="N108" s="661"/>
      <c r="O108" s="661"/>
      <c r="P108" s="661"/>
      <c r="Q108" s="661"/>
      <c r="R108" s="662"/>
      <c r="S108" s="662"/>
      <c r="T108" s="662"/>
      <c r="U108" s="662"/>
      <c r="V108" s="662"/>
      <c r="W108" s="662"/>
      <c r="X108" s="662"/>
      <c r="Y108" s="662"/>
      <c r="Z108" s="662"/>
      <c r="AA108" s="662"/>
      <c r="AB108" s="662"/>
      <c r="AC108" s="662"/>
      <c r="AD108" s="662"/>
      <c r="AE108" s="662"/>
      <c r="AF108" s="662"/>
      <c r="AG108" s="662"/>
      <c r="AH108" s="662"/>
      <c r="AI108" s="662"/>
      <c r="AJ108" s="662"/>
      <c r="AK108" s="662"/>
      <c r="AL108" s="662"/>
      <c r="AM108" s="662"/>
      <c r="AN108" s="662"/>
      <c r="AO108" s="662"/>
      <c r="AP108" s="663"/>
      <c r="AQ108" s="663"/>
      <c r="AR108" s="663"/>
      <c r="AS108" s="663"/>
      <c r="AT108" s="663"/>
      <c r="AU108" s="663"/>
      <c r="AV108" s="663"/>
      <c r="AW108" s="663"/>
      <c r="AX108" s="663"/>
      <c r="AY108" s="663"/>
      <c r="AZ108" s="663"/>
      <c r="BA108" s="663"/>
      <c r="BB108" s="663"/>
      <c r="BC108" s="663"/>
      <c r="BD108" s="663"/>
      <c r="BE108" s="663"/>
      <c r="BF108" s="663"/>
      <c r="BG108" s="663"/>
      <c r="BH108" s="663"/>
      <c r="BI108" s="663"/>
      <c r="BJ108" s="663"/>
      <c r="BK108" s="663"/>
      <c r="BL108" s="663"/>
      <c r="BM108" s="663"/>
      <c r="BN108" s="663"/>
      <c r="BO108" s="663"/>
      <c r="BP108" s="663"/>
      <c r="BQ108" s="663"/>
      <c r="BR108" s="663"/>
      <c r="BS108" s="663"/>
      <c r="BT108" s="663"/>
      <c r="BU108" s="663"/>
      <c r="BV108" s="663"/>
      <c r="BW108" s="663"/>
      <c r="BX108" s="663"/>
      <c r="BY108" s="663"/>
      <c r="BZ108" s="663"/>
      <c r="CA108" s="663"/>
      <c r="CB108" s="663"/>
      <c r="CC108" s="663"/>
      <c r="CD108" s="663"/>
      <c r="CE108" s="663"/>
      <c r="CF108" s="663"/>
      <c r="CG108" s="663"/>
      <c r="CH108" s="663"/>
      <c r="CI108" s="663"/>
      <c r="CJ108" s="663"/>
      <c r="CK108" s="663"/>
      <c r="CL108" s="663"/>
      <c r="CM108" s="663"/>
      <c r="CN108" s="663"/>
      <c r="CO108" s="663"/>
      <c r="CP108" s="663"/>
      <c r="CQ108" s="663"/>
      <c r="CR108" s="663"/>
      <c r="CS108" s="663"/>
      <c r="CT108" s="663"/>
      <c r="CU108" s="663"/>
      <c r="CV108" s="663"/>
      <c r="CW108" s="663"/>
      <c r="CX108" s="663"/>
      <c r="CY108" s="663"/>
      <c r="CZ108" s="663"/>
      <c r="DA108" s="663"/>
      <c r="DB108" s="663"/>
      <c r="DC108" s="663"/>
      <c r="DD108" s="663"/>
      <c r="DE108" s="663"/>
      <c r="DF108" s="663"/>
      <c r="DG108" s="663"/>
      <c r="DH108" s="663"/>
      <c r="DI108" s="663"/>
      <c r="DJ108" s="663"/>
      <c r="DK108" s="663"/>
      <c r="DL108" s="663"/>
      <c r="DM108" s="663"/>
      <c r="DN108" s="663"/>
      <c r="DO108" s="663"/>
      <c r="DP108" s="663"/>
      <c r="DQ108" s="663"/>
      <c r="DR108" s="663"/>
      <c r="DS108" s="663"/>
      <c r="DT108" s="663"/>
      <c r="DU108" s="663"/>
      <c r="DV108" s="663"/>
      <c r="DW108" s="663"/>
      <c r="DX108" s="663"/>
      <c r="DY108" s="663"/>
      <c r="DZ108" s="663"/>
      <c r="EA108" s="663"/>
      <c r="EB108" s="663"/>
      <c r="EC108" s="663"/>
      <c r="ED108" s="663"/>
      <c r="EE108" s="663"/>
      <c r="EF108" s="663"/>
      <c r="EG108" s="663"/>
      <c r="EH108" s="663"/>
      <c r="EI108" s="663"/>
      <c r="EJ108" s="663"/>
      <c r="EK108" s="663"/>
      <c r="EL108" s="663"/>
      <c r="EM108" s="663"/>
      <c r="EN108" s="663"/>
      <c r="EO108" s="663"/>
      <c r="EP108" s="663"/>
      <c r="EQ108" s="663"/>
      <c r="ER108" s="663"/>
      <c r="ES108" s="663"/>
      <c r="ET108" s="663"/>
      <c r="EU108" s="663"/>
      <c r="EV108" s="663"/>
      <c r="EW108" s="663"/>
      <c r="EX108" s="663"/>
      <c r="EY108" s="663"/>
      <c r="EZ108" s="663"/>
      <c r="FA108" s="663"/>
      <c r="FB108" s="663"/>
      <c r="FC108" s="663"/>
      <c r="FD108" s="663"/>
      <c r="FE108" s="663"/>
      <c r="FF108" s="663"/>
      <c r="FG108" s="663"/>
      <c r="FH108" s="663"/>
      <c r="FI108" s="663"/>
      <c r="FJ108" s="663"/>
      <c r="FK108" s="663"/>
      <c r="FL108" s="663"/>
      <c r="FM108" s="663"/>
      <c r="FN108" s="663"/>
      <c r="FO108" s="663"/>
      <c r="FP108" s="663"/>
      <c r="FQ108" s="663"/>
      <c r="FR108" s="663"/>
      <c r="FS108" s="663"/>
      <c r="FT108" s="663"/>
      <c r="FU108" s="663"/>
      <c r="FV108" s="663"/>
      <c r="FW108" s="663"/>
      <c r="FX108" s="663"/>
      <c r="FY108" s="663"/>
      <c r="FZ108" s="663"/>
      <c r="GA108" s="663"/>
      <c r="GB108" s="663"/>
      <c r="GC108" s="663"/>
      <c r="GD108" s="663"/>
      <c r="GE108" s="663"/>
      <c r="GF108" s="663"/>
      <c r="GG108" s="663"/>
      <c r="GH108" s="663"/>
      <c r="GI108" s="663"/>
      <c r="GJ108" s="663"/>
      <c r="GK108" s="663"/>
      <c r="GL108" s="663"/>
      <c r="GM108" s="663"/>
      <c r="GN108" s="663"/>
      <c r="GO108" s="663"/>
      <c r="GP108" s="663"/>
      <c r="GQ108" s="663"/>
      <c r="GR108" s="663"/>
      <c r="GS108" s="663"/>
      <c r="GT108" s="663"/>
      <c r="GU108" s="663"/>
      <c r="GV108" s="663"/>
      <c r="GW108" s="663"/>
      <c r="GX108" s="663"/>
      <c r="GY108" s="663"/>
      <c r="GZ108" s="663"/>
      <c r="HA108" s="663"/>
      <c r="HB108" s="663"/>
      <c r="HC108" s="663"/>
      <c r="HD108" s="663"/>
      <c r="HE108" s="663"/>
      <c r="HF108" s="663"/>
      <c r="HG108" s="663"/>
      <c r="HH108" s="663"/>
      <c r="HI108" s="663"/>
      <c r="HJ108" s="663"/>
      <c r="HK108" s="663"/>
      <c r="HL108" s="663"/>
      <c r="HM108" s="663"/>
      <c r="HN108" s="663"/>
      <c r="HO108" s="663"/>
      <c r="HP108" s="663"/>
      <c r="HQ108" s="663"/>
      <c r="HR108" s="663"/>
      <c r="HS108" s="663"/>
      <c r="HT108" s="663"/>
      <c r="HU108" s="663"/>
      <c r="HV108" s="663"/>
      <c r="HW108" s="663"/>
      <c r="HX108" s="663"/>
      <c r="HY108" s="663"/>
      <c r="HZ108" s="663"/>
      <c r="IA108" s="663"/>
      <c r="IB108" s="663"/>
      <c r="IC108" s="663"/>
      <c r="ID108" s="663"/>
      <c r="IE108" s="663"/>
      <c r="IF108" s="663"/>
      <c r="IG108" s="663"/>
      <c r="IH108" s="663"/>
      <c r="II108" s="663"/>
      <c r="IJ108" s="663"/>
      <c r="IK108" s="663"/>
      <c r="IL108" s="663"/>
      <c r="IM108" s="663"/>
      <c r="IN108" s="663"/>
      <c r="IO108" s="663"/>
      <c r="IP108" s="663"/>
      <c r="IQ108" s="663"/>
      <c r="IR108" s="663"/>
      <c r="IS108" s="663"/>
      <c r="IT108" s="663"/>
      <c r="IU108" s="663"/>
      <c r="IV108" s="663"/>
    </row>
    <row r="109" spans="1:256" ht="13.5" customHeight="1">
      <c r="A109" s="72">
        <v>37</v>
      </c>
      <c r="B109" s="73">
        <v>271</v>
      </c>
      <c r="C109" s="73">
        <v>871275811</v>
      </c>
      <c r="D109" s="73" t="s">
        <v>561</v>
      </c>
      <c r="E109" s="73" t="s">
        <v>115</v>
      </c>
      <c r="F109" s="76">
        <f>SUM(F110:F111)</f>
        <v>41</v>
      </c>
      <c r="G109" s="811"/>
      <c r="H109" s="74">
        <f>F109*G109</f>
        <v>0</v>
      </c>
      <c r="I109" s="545" t="s">
        <v>738</v>
      </c>
      <c r="J109" s="373"/>
      <c r="K109" s="373"/>
      <c r="L109" s="765"/>
      <c r="M109" s="765"/>
      <c r="N109" s="765"/>
      <c r="O109" s="765"/>
      <c r="P109" s="766"/>
      <c r="Q109" s="765"/>
      <c r="R109" s="765"/>
      <c r="S109" s="765"/>
      <c r="T109" s="765"/>
      <c r="U109" s="765"/>
      <c r="V109" s="765"/>
      <c r="W109" s="765"/>
      <c r="X109" s="765"/>
      <c r="Y109" s="765"/>
      <c r="Z109" s="765"/>
      <c r="AA109" s="765"/>
      <c r="AB109" s="765"/>
      <c r="AC109" s="765"/>
      <c r="AD109" s="765"/>
      <c r="AE109" s="765"/>
      <c r="AF109" s="765"/>
      <c r="AG109" s="765"/>
      <c r="AH109" s="765"/>
      <c r="AI109" s="765"/>
      <c r="AJ109" s="765"/>
      <c r="AK109" s="765"/>
      <c r="AL109" s="765"/>
      <c r="AM109" s="765"/>
      <c r="AN109" s="765"/>
      <c r="AO109" s="765"/>
      <c r="AP109" s="767"/>
      <c r="AQ109" s="767"/>
      <c r="AR109" s="767"/>
      <c r="AS109" s="767"/>
      <c r="AT109" s="767"/>
      <c r="AU109" s="767"/>
      <c r="AV109" s="767"/>
      <c r="AW109" s="767"/>
      <c r="AX109" s="767"/>
      <c r="AY109" s="767"/>
      <c r="AZ109" s="767"/>
      <c r="BA109" s="767"/>
      <c r="BB109" s="767"/>
      <c r="BC109" s="767"/>
      <c r="BD109" s="767"/>
      <c r="BE109" s="767"/>
      <c r="BF109" s="767"/>
      <c r="BG109" s="767"/>
      <c r="BH109" s="767"/>
      <c r="BI109" s="767"/>
      <c r="BJ109" s="767"/>
      <c r="BK109" s="767"/>
      <c r="BL109" s="767"/>
      <c r="BM109" s="767"/>
      <c r="BN109" s="767"/>
      <c r="BO109" s="767"/>
      <c r="BP109" s="767"/>
      <c r="BQ109" s="767"/>
      <c r="BR109" s="767"/>
      <c r="BS109" s="767"/>
      <c r="BT109" s="767"/>
      <c r="BU109" s="767"/>
      <c r="BV109" s="767"/>
      <c r="BW109" s="767"/>
      <c r="BX109" s="767"/>
      <c r="BY109" s="767"/>
      <c r="BZ109" s="767"/>
      <c r="CA109" s="767"/>
      <c r="CB109" s="767"/>
      <c r="CC109" s="767"/>
      <c r="CD109" s="767"/>
      <c r="CE109" s="767"/>
      <c r="CF109" s="767"/>
      <c r="CG109" s="767"/>
      <c r="CH109" s="767"/>
      <c r="CI109" s="767"/>
      <c r="CJ109" s="767"/>
      <c r="CK109" s="767"/>
      <c r="CL109" s="767"/>
      <c r="CM109" s="767"/>
      <c r="CN109" s="767"/>
      <c r="CO109" s="767"/>
      <c r="CP109" s="767"/>
      <c r="CQ109" s="767"/>
      <c r="CR109" s="767"/>
      <c r="CS109" s="767"/>
      <c r="CT109" s="767"/>
      <c r="CU109" s="767"/>
      <c r="CV109" s="767"/>
      <c r="CW109" s="767"/>
      <c r="CX109" s="767"/>
      <c r="CY109" s="767"/>
      <c r="CZ109" s="767"/>
      <c r="DA109" s="767"/>
      <c r="DB109" s="767"/>
      <c r="DC109" s="767"/>
      <c r="DD109" s="767"/>
      <c r="DE109" s="767"/>
      <c r="DF109" s="767"/>
      <c r="DG109" s="767"/>
      <c r="DH109" s="767"/>
      <c r="DI109" s="767"/>
      <c r="DJ109" s="767"/>
      <c r="DK109" s="767"/>
      <c r="DL109" s="767"/>
      <c r="DM109" s="767"/>
      <c r="DN109" s="767"/>
      <c r="DO109" s="767"/>
      <c r="DP109" s="767"/>
      <c r="DQ109" s="767"/>
      <c r="DR109" s="767"/>
      <c r="DS109" s="767"/>
      <c r="DT109" s="767"/>
      <c r="DU109" s="767"/>
      <c r="DV109" s="767"/>
      <c r="DW109" s="767"/>
      <c r="DX109" s="767"/>
      <c r="DY109" s="767"/>
      <c r="DZ109" s="767"/>
      <c r="EA109" s="767"/>
      <c r="EB109" s="767"/>
      <c r="EC109" s="767"/>
      <c r="ED109" s="767"/>
      <c r="EE109" s="767"/>
      <c r="EF109" s="767"/>
      <c r="EG109" s="767"/>
      <c r="EH109" s="767"/>
      <c r="EI109" s="767"/>
      <c r="EJ109" s="767"/>
      <c r="EK109" s="767"/>
      <c r="EL109" s="767"/>
      <c r="EM109" s="767"/>
      <c r="EN109" s="767"/>
      <c r="EO109" s="767"/>
      <c r="EP109" s="767"/>
      <c r="EQ109" s="767"/>
      <c r="ER109" s="767"/>
      <c r="ES109" s="767"/>
      <c r="ET109" s="767"/>
      <c r="EU109" s="767"/>
      <c r="EV109" s="767"/>
      <c r="EW109" s="767"/>
      <c r="EX109" s="767"/>
      <c r="EY109" s="767"/>
      <c r="EZ109" s="767"/>
      <c r="FA109" s="767"/>
      <c r="FB109" s="767"/>
      <c r="FC109" s="767"/>
      <c r="FD109" s="767"/>
      <c r="FE109" s="767"/>
      <c r="FF109" s="767"/>
      <c r="FG109" s="767"/>
      <c r="FH109" s="767"/>
      <c r="FI109" s="767"/>
      <c r="FJ109" s="767"/>
      <c r="FK109" s="767"/>
      <c r="FL109" s="767"/>
      <c r="FM109" s="767"/>
      <c r="FN109" s="767"/>
      <c r="FO109" s="767"/>
      <c r="FP109" s="767"/>
      <c r="FQ109" s="767"/>
      <c r="FR109" s="767"/>
      <c r="FS109" s="767"/>
      <c r="FT109" s="767"/>
      <c r="FU109" s="767"/>
      <c r="FV109" s="767"/>
      <c r="FW109" s="767"/>
      <c r="FX109" s="767"/>
      <c r="FY109" s="767"/>
      <c r="FZ109" s="767"/>
      <c r="GA109" s="767"/>
      <c r="GB109" s="767"/>
      <c r="GC109" s="767"/>
      <c r="GD109" s="767"/>
      <c r="GE109" s="767"/>
      <c r="GF109" s="767"/>
      <c r="GG109" s="767"/>
      <c r="GH109" s="767"/>
      <c r="GI109" s="767"/>
      <c r="GJ109" s="767"/>
      <c r="GK109" s="767"/>
      <c r="GL109" s="767"/>
      <c r="GM109" s="767"/>
      <c r="GN109" s="767"/>
      <c r="GO109" s="767"/>
      <c r="GP109" s="767"/>
      <c r="GQ109" s="767"/>
      <c r="GR109" s="767"/>
      <c r="GS109" s="767"/>
      <c r="GT109" s="767"/>
      <c r="GU109" s="767"/>
      <c r="GV109" s="767"/>
      <c r="GW109" s="767"/>
      <c r="GX109" s="767"/>
      <c r="GY109" s="767"/>
      <c r="GZ109" s="767"/>
      <c r="HA109" s="767"/>
      <c r="HB109" s="767"/>
      <c r="HC109" s="767"/>
      <c r="HD109" s="767"/>
      <c r="HE109" s="767"/>
      <c r="HF109" s="767"/>
      <c r="HG109" s="767"/>
      <c r="HH109" s="767"/>
      <c r="HI109" s="767"/>
      <c r="HJ109" s="767"/>
      <c r="HK109" s="767"/>
      <c r="HL109" s="767"/>
      <c r="HM109" s="767"/>
      <c r="HN109" s="767"/>
      <c r="HO109" s="767"/>
      <c r="HP109" s="767"/>
      <c r="HQ109" s="767"/>
      <c r="HR109" s="767"/>
      <c r="HS109" s="767"/>
      <c r="HT109" s="767"/>
      <c r="HU109" s="767"/>
      <c r="HV109" s="767"/>
      <c r="HW109" s="767"/>
      <c r="HX109" s="767"/>
      <c r="HY109" s="767"/>
      <c r="HZ109" s="767"/>
      <c r="IA109" s="767"/>
      <c r="IB109" s="767"/>
      <c r="IC109" s="767"/>
      <c r="ID109" s="767"/>
      <c r="IE109" s="767"/>
      <c r="IF109" s="767"/>
      <c r="IG109" s="767"/>
      <c r="IH109" s="767"/>
      <c r="II109" s="767"/>
      <c r="IJ109" s="767"/>
      <c r="IK109" s="767"/>
      <c r="IL109" s="767"/>
      <c r="IM109" s="767"/>
      <c r="IN109" s="767"/>
      <c r="IO109" s="768"/>
      <c r="IP109" s="768"/>
      <c r="IQ109" s="768"/>
      <c r="IR109" s="768"/>
      <c r="IS109" s="768"/>
      <c r="IT109" s="768"/>
      <c r="IU109" s="768"/>
      <c r="IV109" s="768"/>
    </row>
    <row r="110" spans="1:256" ht="13.5" customHeight="1">
      <c r="A110" s="769"/>
      <c r="B110" s="770"/>
      <c r="C110" s="771"/>
      <c r="D110" s="772" t="s">
        <v>787</v>
      </c>
      <c r="E110" s="771"/>
      <c r="F110" s="75">
        <f>7.8+6.2</f>
        <v>14</v>
      </c>
      <c r="G110" s="773"/>
      <c r="H110" s="773"/>
      <c r="I110" s="774"/>
      <c r="J110" s="540"/>
      <c r="K110" s="775"/>
      <c r="L110" s="775"/>
      <c r="M110" s="775"/>
      <c r="N110" s="775"/>
      <c r="O110" s="775"/>
      <c r="P110" s="775"/>
      <c r="Q110" s="775"/>
      <c r="R110" s="775"/>
      <c r="S110" s="775"/>
      <c r="T110" s="775"/>
      <c r="U110" s="775"/>
      <c r="V110" s="775"/>
      <c r="W110" s="775"/>
      <c r="X110" s="775"/>
      <c r="Y110" s="775"/>
      <c r="Z110" s="775"/>
      <c r="AA110" s="775"/>
      <c r="AB110" s="775"/>
      <c r="AC110" s="775"/>
      <c r="AD110" s="775"/>
      <c r="AE110" s="775"/>
      <c r="AF110" s="775"/>
      <c r="AG110" s="775"/>
      <c r="AH110" s="775"/>
      <c r="AI110" s="775"/>
      <c r="AJ110" s="775"/>
      <c r="AK110" s="775"/>
      <c r="AL110" s="775"/>
      <c r="AM110" s="775"/>
      <c r="AN110" s="775"/>
      <c r="AO110" s="775"/>
      <c r="AP110" s="776"/>
      <c r="AQ110" s="776"/>
      <c r="AR110" s="776"/>
      <c r="AS110" s="776"/>
      <c r="AT110" s="776"/>
      <c r="AU110" s="776"/>
      <c r="AV110" s="776"/>
      <c r="AW110" s="776"/>
      <c r="AX110" s="776"/>
      <c r="AY110" s="776"/>
      <c r="AZ110" s="776"/>
      <c r="BA110" s="776"/>
      <c r="BB110" s="776"/>
      <c r="BC110" s="776"/>
      <c r="BD110" s="776"/>
      <c r="BE110" s="776"/>
      <c r="BF110" s="776"/>
      <c r="BG110" s="776"/>
      <c r="BH110" s="776"/>
      <c r="BI110" s="776"/>
      <c r="BJ110" s="776"/>
      <c r="BK110" s="776"/>
      <c r="BL110" s="776"/>
      <c r="BM110" s="776"/>
      <c r="BN110" s="776"/>
      <c r="BO110" s="776"/>
      <c r="BP110" s="776"/>
      <c r="BQ110" s="776"/>
      <c r="BR110" s="776"/>
      <c r="BS110" s="776"/>
      <c r="BT110" s="776"/>
      <c r="BU110" s="776"/>
      <c r="BV110" s="776"/>
      <c r="BW110" s="776"/>
      <c r="BX110" s="776"/>
      <c r="BY110" s="776"/>
      <c r="BZ110" s="776"/>
      <c r="CA110" s="776"/>
      <c r="CB110" s="776"/>
      <c r="CC110" s="776"/>
      <c r="CD110" s="776"/>
      <c r="CE110" s="776"/>
      <c r="CF110" s="776"/>
      <c r="CG110" s="776"/>
      <c r="CH110" s="776"/>
      <c r="CI110" s="776"/>
      <c r="CJ110" s="776"/>
      <c r="CK110" s="776"/>
      <c r="CL110" s="776"/>
      <c r="CM110" s="776"/>
      <c r="CN110" s="776"/>
      <c r="CO110" s="776"/>
      <c r="CP110" s="776"/>
      <c r="CQ110" s="776"/>
      <c r="CR110" s="776"/>
      <c r="CS110" s="776"/>
      <c r="CT110" s="776"/>
      <c r="CU110" s="776"/>
      <c r="CV110" s="776"/>
      <c r="CW110" s="776"/>
      <c r="CX110" s="776"/>
      <c r="CY110" s="776"/>
      <c r="CZ110" s="776"/>
      <c r="DA110" s="776"/>
      <c r="DB110" s="776"/>
      <c r="DC110" s="776"/>
      <c r="DD110" s="776"/>
      <c r="DE110" s="776"/>
      <c r="DF110" s="776"/>
      <c r="DG110" s="776"/>
      <c r="DH110" s="776"/>
      <c r="DI110" s="776"/>
      <c r="DJ110" s="776"/>
      <c r="DK110" s="776"/>
      <c r="DL110" s="776"/>
      <c r="DM110" s="776"/>
      <c r="DN110" s="776"/>
      <c r="DO110" s="776"/>
      <c r="DP110" s="776"/>
      <c r="DQ110" s="776"/>
      <c r="DR110" s="776"/>
      <c r="DS110" s="776"/>
      <c r="DT110" s="776"/>
      <c r="DU110" s="776"/>
      <c r="DV110" s="776"/>
      <c r="DW110" s="776"/>
      <c r="DX110" s="776"/>
      <c r="DY110" s="776"/>
      <c r="DZ110" s="776"/>
      <c r="EA110" s="776"/>
      <c r="EB110" s="776"/>
      <c r="EC110" s="776"/>
      <c r="ED110" s="776"/>
      <c r="EE110" s="776"/>
      <c r="EF110" s="776"/>
      <c r="EG110" s="776"/>
      <c r="EH110" s="776"/>
      <c r="EI110" s="776"/>
      <c r="EJ110" s="776"/>
      <c r="EK110" s="776"/>
      <c r="EL110" s="776"/>
      <c r="EM110" s="776"/>
      <c r="EN110" s="776"/>
      <c r="EO110" s="776"/>
      <c r="EP110" s="776"/>
      <c r="EQ110" s="776"/>
      <c r="ER110" s="776"/>
      <c r="ES110" s="776"/>
      <c r="ET110" s="776"/>
      <c r="EU110" s="776"/>
      <c r="EV110" s="776"/>
      <c r="EW110" s="776"/>
      <c r="EX110" s="776"/>
      <c r="EY110" s="776"/>
      <c r="EZ110" s="776"/>
      <c r="FA110" s="776"/>
      <c r="FB110" s="776"/>
      <c r="FC110" s="776"/>
      <c r="FD110" s="776"/>
      <c r="FE110" s="776"/>
      <c r="FF110" s="776"/>
      <c r="FG110" s="776"/>
      <c r="FH110" s="776"/>
      <c r="FI110" s="776"/>
      <c r="FJ110" s="776"/>
      <c r="FK110" s="776"/>
      <c r="FL110" s="776"/>
      <c r="FM110" s="776"/>
      <c r="FN110" s="776"/>
      <c r="FO110" s="776"/>
      <c r="FP110" s="776"/>
      <c r="FQ110" s="776"/>
      <c r="FR110" s="776"/>
      <c r="FS110" s="776"/>
      <c r="FT110" s="776"/>
      <c r="FU110" s="776"/>
      <c r="FV110" s="776"/>
      <c r="FW110" s="776"/>
      <c r="FX110" s="776"/>
      <c r="FY110" s="776"/>
      <c r="FZ110" s="776"/>
      <c r="GA110" s="776"/>
      <c r="GB110" s="776"/>
      <c r="GC110" s="776"/>
      <c r="GD110" s="776"/>
      <c r="GE110" s="776"/>
      <c r="GF110" s="776"/>
      <c r="GG110" s="776"/>
      <c r="GH110" s="776"/>
      <c r="GI110" s="776"/>
      <c r="GJ110" s="776"/>
      <c r="GK110" s="776"/>
      <c r="GL110" s="776"/>
      <c r="GM110" s="776"/>
      <c r="GN110" s="776"/>
      <c r="GO110" s="776"/>
      <c r="GP110" s="776"/>
      <c r="GQ110" s="776"/>
      <c r="GR110" s="776"/>
      <c r="GS110" s="776"/>
      <c r="GT110" s="776"/>
      <c r="GU110" s="776"/>
      <c r="GV110" s="776"/>
      <c r="GW110" s="776"/>
      <c r="GX110" s="776"/>
      <c r="GY110" s="776"/>
      <c r="GZ110" s="776"/>
      <c r="HA110" s="776"/>
      <c r="HB110" s="776"/>
      <c r="HC110" s="776"/>
      <c r="HD110" s="776"/>
      <c r="HE110" s="776"/>
      <c r="HF110" s="776"/>
      <c r="HG110" s="776"/>
      <c r="HH110" s="776"/>
      <c r="HI110" s="776"/>
      <c r="HJ110" s="776"/>
      <c r="HK110" s="776"/>
      <c r="HL110" s="776"/>
      <c r="HM110" s="776"/>
      <c r="HN110" s="776"/>
      <c r="HO110" s="776"/>
      <c r="HP110" s="776"/>
      <c r="HQ110" s="776"/>
      <c r="HR110" s="776"/>
      <c r="HS110" s="776"/>
      <c r="HT110" s="776"/>
      <c r="HU110" s="776"/>
      <c r="HV110" s="776"/>
      <c r="HW110" s="776"/>
      <c r="HX110" s="776"/>
      <c r="HY110" s="776"/>
      <c r="HZ110" s="776"/>
      <c r="IA110" s="776"/>
      <c r="IB110" s="776"/>
      <c r="IC110" s="776"/>
      <c r="ID110" s="776"/>
      <c r="IE110" s="776"/>
      <c r="IF110" s="776"/>
      <c r="IG110" s="776"/>
      <c r="IH110" s="776"/>
      <c r="II110" s="776"/>
      <c r="IJ110" s="776"/>
      <c r="IK110" s="776"/>
      <c r="IL110" s="776"/>
      <c r="IM110" s="776"/>
      <c r="IN110" s="776"/>
      <c r="IO110" s="768"/>
      <c r="IP110" s="768"/>
      <c r="IQ110" s="768"/>
      <c r="IR110" s="768"/>
      <c r="IS110" s="768"/>
      <c r="IT110" s="768"/>
      <c r="IU110" s="768"/>
      <c r="IV110" s="768"/>
    </row>
    <row r="111" spans="1:256" ht="13.5" customHeight="1">
      <c r="A111" s="769"/>
      <c r="B111" s="770"/>
      <c r="C111" s="771"/>
      <c r="D111" s="772" t="s">
        <v>560</v>
      </c>
      <c r="E111" s="771"/>
      <c r="F111" s="75">
        <f>27</f>
        <v>27</v>
      </c>
      <c r="G111" s="773"/>
      <c r="H111" s="773"/>
      <c r="I111" s="774"/>
      <c r="J111" s="540"/>
      <c r="K111" s="775"/>
      <c r="L111" s="775"/>
      <c r="M111" s="775"/>
      <c r="N111" s="775"/>
      <c r="O111" s="775"/>
      <c r="P111" s="775"/>
      <c r="Q111" s="775"/>
      <c r="R111" s="775"/>
      <c r="S111" s="775"/>
      <c r="T111" s="775"/>
      <c r="U111" s="775"/>
      <c r="V111" s="775"/>
      <c r="W111" s="775"/>
      <c r="X111" s="775"/>
      <c r="Y111" s="775"/>
      <c r="Z111" s="775"/>
      <c r="AA111" s="775"/>
      <c r="AB111" s="775"/>
      <c r="AC111" s="775"/>
      <c r="AD111" s="775"/>
      <c r="AE111" s="775"/>
      <c r="AF111" s="775"/>
      <c r="AG111" s="775"/>
      <c r="AH111" s="775"/>
      <c r="AI111" s="775"/>
      <c r="AJ111" s="775"/>
      <c r="AK111" s="775"/>
      <c r="AL111" s="775"/>
      <c r="AM111" s="775"/>
      <c r="AN111" s="775"/>
      <c r="AO111" s="775"/>
      <c r="AP111" s="776"/>
      <c r="AQ111" s="776"/>
      <c r="AR111" s="776"/>
      <c r="AS111" s="776"/>
      <c r="AT111" s="776"/>
      <c r="AU111" s="776"/>
      <c r="AV111" s="776"/>
      <c r="AW111" s="776"/>
      <c r="AX111" s="776"/>
      <c r="AY111" s="776"/>
      <c r="AZ111" s="776"/>
      <c r="BA111" s="776"/>
      <c r="BB111" s="776"/>
      <c r="BC111" s="776"/>
      <c r="BD111" s="776"/>
      <c r="BE111" s="776"/>
      <c r="BF111" s="776"/>
      <c r="BG111" s="776"/>
      <c r="BH111" s="776"/>
      <c r="BI111" s="776"/>
      <c r="BJ111" s="776"/>
      <c r="BK111" s="776"/>
      <c r="BL111" s="776"/>
      <c r="BM111" s="776"/>
      <c r="BN111" s="776"/>
      <c r="BO111" s="776"/>
      <c r="BP111" s="776"/>
      <c r="BQ111" s="776"/>
      <c r="BR111" s="776"/>
      <c r="BS111" s="776"/>
      <c r="BT111" s="776"/>
      <c r="BU111" s="776"/>
      <c r="BV111" s="776"/>
      <c r="BW111" s="776"/>
      <c r="BX111" s="776"/>
      <c r="BY111" s="776"/>
      <c r="BZ111" s="776"/>
      <c r="CA111" s="776"/>
      <c r="CB111" s="776"/>
      <c r="CC111" s="776"/>
      <c r="CD111" s="776"/>
      <c r="CE111" s="776"/>
      <c r="CF111" s="776"/>
      <c r="CG111" s="776"/>
      <c r="CH111" s="776"/>
      <c r="CI111" s="776"/>
      <c r="CJ111" s="776"/>
      <c r="CK111" s="776"/>
      <c r="CL111" s="776"/>
      <c r="CM111" s="776"/>
      <c r="CN111" s="776"/>
      <c r="CO111" s="776"/>
      <c r="CP111" s="776"/>
      <c r="CQ111" s="776"/>
      <c r="CR111" s="776"/>
      <c r="CS111" s="776"/>
      <c r="CT111" s="776"/>
      <c r="CU111" s="776"/>
      <c r="CV111" s="776"/>
      <c r="CW111" s="776"/>
      <c r="CX111" s="776"/>
      <c r="CY111" s="776"/>
      <c r="CZ111" s="776"/>
      <c r="DA111" s="776"/>
      <c r="DB111" s="776"/>
      <c r="DC111" s="776"/>
      <c r="DD111" s="776"/>
      <c r="DE111" s="776"/>
      <c r="DF111" s="776"/>
      <c r="DG111" s="776"/>
      <c r="DH111" s="776"/>
      <c r="DI111" s="776"/>
      <c r="DJ111" s="776"/>
      <c r="DK111" s="776"/>
      <c r="DL111" s="776"/>
      <c r="DM111" s="776"/>
      <c r="DN111" s="776"/>
      <c r="DO111" s="776"/>
      <c r="DP111" s="776"/>
      <c r="DQ111" s="776"/>
      <c r="DR111" s="776"/>
      <c r="DS111" s="776"/>
      <c r="DT111" s="776"/>
      <c r="DU111" s="776"/>
      <c r="DV111" s="776"/>
      <c r="DW111" s="776"/>
      <c r="DX111" s="776"/>
      <c r="DY111" s="776"/>
      <c r="DZ111" s="776"/>
      <c r="EA111" s="776"/>
      <c r="EB111" s="776"/>
      <c r="EC111" s="776"/>
      <c r="ED111" s="776"/>
      <c r="EE111" s="776"/>
      <c r="EF111" s="776"/>
      <c r="EG111" s="776"/>
      <c r="EH111" s="776"/>
      <c r="EI111" s="776"/>
      <c r="EJ111" s="776"/>
      <c r="EK111" s="776"/>
      <c r="EL111" s="776"/>
      <c r="EM111" s="776"/>
      <c r="EN111" s="776"/>
      <c r="EO111" s="776"/>
      <c r="EP111" s="776"/>
      <c r="EQ111" s="776"/>
      <c r="ER111" s="776"/>
      <c r="ES111" s="776"/>
      <c r="ET111" s="776"/>
      <c r="EU111" s="776"/>
      <c r="EV111" s="776"/>
      <c r="EW111" s="776"/>
      <c r="EX111" s="776"/>
      <c r="EY111" s="776"/>
      <c r="EZ111" s="776"/>
      <c r="FA111" s="776"/>
      <c r="FB111" s="776"/>
      <c r="FC111" s="776"/>
      <c r="FD111" s="776"/>
      <c r="FE111" s="776"/>
      <c r="FF111" s="776"/>
      <c r="FG111" s="776"/>
      <c r="FH111" s="776"/>
      <c r="FI111" s="776"/>
      <c r="FJ111" s="776"/>
      <c r="FK111" s="776"/>
      <c r="FL111" s="776"/>
      <c r="FM111" s="776"/>
      <c r="FN111" s="776"/>
      <c r="FO111" s="776"/>
      <c r="FP111" s="776"/>
      <c r="FQ111" s="776"/>
      <c r="FR111" s="776"/>
      <c r="FS111" s="776"/>
      <c r="FT111" s="776"/>
      <c r="FU111" s="776"/>
      <c r="FV111" s="776"/>
      <c r="FW111" s="776"/>
      <c r="FX111" s="776"/>
      <c r="FY111" s="776"/>
      <c r="FZ111" s="776"/>
      <c r="GA111" s="776"/>
      <c r="GB111" s="776"/>
      <c r="GC111" s="776"/>
      <c r="GD111" s="776"/>
      <c r="GE111" s="776"/>
      <c r="GF111" s="776"/>
      <c r="GG111" s="776"/>
      <c r="GH111" s="776"/>
      <c r="GI111" s="776"/>
      <c r="GJ111" s="776"/>
      <c r="GK111" s="776"/>
      <c r="GL111" s="776"/>
      <c r="GM111" s="776"/>
      <c r="GN111" s="776"/>
      <c r="GO111" s="776"/>
      <c r="GP111" s="776"/>
      <c r="GQ111" s="776"/>
      <c r="GR111" s="776"/>
      <c r="GS111" s="776"/>
      <c r="GT111" s="776"/>
      <c r="GU111" s="776"/>
      <c r="GV111" s="776"/>
      <c r="GW111" s="776"/>
      <c r="GX111" s="776"/>
      <c r="GY111" s="776"/>
      <c r="GZ111" s="776"/>
      <c r="HA111" s="776"/>
      <c r="HB111" s="776"/>
      <c r="HC111" s="776"/>
      <c r="HD111" s="776"/>
      <c r="HE111" s="776"/>
      <c r="HF111" s="776"/>
      <c r="HG111" s="776"/>
      <c r="HH111" s="776"/>
      <c r="HI111" s="776"/>
      <c r="HJ111" s="776"/>
      <c r="HK111" s="776"/>
      <c r="HL111" s="776"/>
      <c r="HM111" s="776"/>
      <c r="HN111" s="776"/>
      <c r="HO111" s="776"/>
      <c r="HP111" s="776"/>
      <c r="HQ111" s="776"/>
      <c r="HR111" s="776"/>
      <c r="HS111" s="776"/>
      <c r="HT111" s="776"/>
      <c r="HU111" s="776"/>
      <c r="HV111" s="776"/>
      <c r="HW111" s="776"/>
      <c r="HX111" s="776"/>
      <c r="HY111" s="776"/>
      <c r="HZ111" s="776"/>
      <c r="IA111" s="776"/>
      <c r="IB111" s="776"/>
      <c r="IC111" s="776"/>
      <c r="ID111" s="776"/>
      <c r="IE111" s="776"/>
      <c r="IF111" s="776"/>
      <c r="IG111" s="776"/>
      <c r="IH111" s="776"/>
      <c r="II111" s="776"/>
      <c r="IJ111" s="776"/>
      <c r="IK111" s="776"/>
      <c r="IL111" s="776"/>
      <c r="IM111" s="776"/>
      <c r="IN111" s="776"/>
      <c r="IO111" s="768"/>
      <c r="IP111" s="768"/>
      <c r="IQ111" s="768"/>
      <c r="IR111" s="768"/>
      <c r="IS111" s="768"/>
      <c r="IT111" s="768"/>
      <c r="IU111" s="768"/>
      <c r="IV111" s="768"/>
    </row>
    <row r="112" spans="1:256" ht="13.5" customHeight="1">
      <c r="A112" s="769"/>
      <c r="B112" s="770"/>
      <c r="C112" s="771"/>
      <c r="D112" s="772" t="s">
        <v>563</v>
      </c>
      <c r="E112" s="771"/>
      <c r="F112" s="75"/>
      <c r="G112" s="773"/>
      <c r="H112" s="773"/>
      <c r="I112" s="774"/>
      <c r="J112" s="540"/>
      <c r="K112" s="775"/>
      <c r="L112" s="775"/>
      <c r="M112" s="775"/>
      <c r="N112" s="775"/>
      <c r="O112" s="775"/>
      <c r="P112" s="775"/>
      <c r="Q112" s="775"/>
      <c r="R112" s="775"/>
      <c r="S112" s="775"/>
      <c r="T112" s="775"/>
      <c r="U112" s="775"/>
      <c r="V112" s="775"/>
      <c r="W112" s="775"/>
      <c r="X112" s="775"/>
      <c r="Y112" s="775"/>
      <c r="Z112" s="775"/>
      <c r="AA112" s="775"/>
      <c r="AB112" s="775"/>
      <c r="AC112" s="775"/>
      <c r="AD112" s="775"/>
      <c r="AE112" s="775"/>
      <c r="AF112" s="775"/>
      <c r="AG112" s="775"/>
      <c r="AH112" s="775"/>
      <c r="AI112" s="775"/>
      <c r="AJ112" s="775"/>
      <c r="AK112" s="775"/>
      <c r="AL112" s="775"/>
      <c r="AM112" s="775"/>
      <c r="AN112" s="775"/>
      <c r="AO112" s="775"/>
      <c r="AP112" s="776"/>
      <c r="AQ112" s="776"/>
      <c r="AR112" s="776"/>
      <c r="AS112" s="776"/>
      <c r="AT112" s="776"/>
      <c r="AU112" s="776"/>
      <c r="AV112" s="776"/>
      <c r="AW112" s="776"/>
      <c r="AX112" s="776"/>
      <c r="AY112" s="776"/>
      <c r="AZ112" s="776"/>
      <c r="BA112" s="776"/>
      <c r="BB112" s="776"/>
      <c r="BC112" s="776"/>
      <c r="BD112" s="776"/>
      <c r="BE112" s="776"/>
      <c r="BF112" s="776"/>
      <c r="BG112" s="776"/>
      <c r="BH112" s="776"/>
      <c r="BI112" s="776"/>
      <c r="BJ112" s="776"/>
      <c r="BK112" s="776"/>
      <c r="BL112" s="776"/>
      <c r="BM112" s="776"/>
      <c r="BN112" s="776"/>
      <c r="BO112" s="776"/>
      <c r="BP112" s="776"/>
      <c r="BQ112" s="776"/>
      <c r="BR112" s="776"/>
      <c r="BS112" s="776"/>
      <c r="BT112" s="776"/>
      <c r="BU112" s="776"/>
      <c r="BV112" s="776"/>
      <c r="BW112" s="776"/>
      <c r="BX112" s="776"/>
      <c r="BY112" s="776"/>
      <c r="BZ112" s="776"/>
      <c r="CA112" s="776"/>
      <c r="CB112" s="776"/>
      <c r="CC112" s="776"/>
      <c r="CD112" s="776"/>
      <c r="CE112" s="776"/>
      <c r="CF112" s="776"/>
      <c r="CG112" s="776"/>
      <c r="CH112" s="776"/>
      <c r="CI112" s="776"/>
      <c r="CJ112" s="776"/>
      <c r="CK112" s="776"/>
      <c r="CL112" s="776"/>
      <c r="CM112" s="776"/>
      <c r="CN112" s="776"/>
      <c r="CO112" s="776"/>
      <c r="CP112" s="776"/>
      <c r="CQ112" s="776"/>
      <c r="CR112" s="776"/>
      <c r="CS112" s="776"/>
      <c r="CT112" s="776"/>
      <c r="CU112" s="776"/>
      <c r="CV112" s="776"/>
      <c r="CW112" s="776"/>
      <c r="CX112" s="776"/>
      <c r="CY112" s="776"/>
      <c r="CZ112" s="776"/>
      <c r="DA112" s="776"/>
      <c r="DB112" s="776"/>
      <c r="DC112" s="776"/>
      <c r="DD112" s="776"/>
      <c r="DE112" s="776"/>
      <c r="DF112" s="776"/>
      <c r="DG112" s="776"/>
      <c r="DH112" s="776"/>
      <c r="DI112" s="776"/>
      <c r="DJ112" s="776"/>
      <c r="DK112" s="776"/>
      <c r="DL112" s="776"/>
      <c r="DM112" s="776"/>
      <c r="DN112" s="776"/>
      <c r="DO112" s="776"/>
      <c r="DP112" s="776"/>
      <c r="DQ112" s="776"/>
      <c r="DR112" s="776"/>
      <c r="DS112" s="776"/>
      <c r="DT112" s="776"/>
      <c r="DU112" s="776"/>
      <c r="DV112" s="776"/>
      <c r="DW112" s="776"/>
      <c r="DX112" s="776"/>
      <c r="DY112" s="776"/>
      <c r="DZ112" s="776"/>
      <c r="EA112" s="776"/>
      <c r="EB112" s="776"/>
      <c r="EC112" s="776"/>
      <c r="ED112" s="776"/>
      <c r="EE112" s="776"/>
      <c r="EF112" s="776"/>
      <c r="EG112" s="776"/>
      <c r="EH112" s="776"/>
      <c r="EI112" s="776"/>
      <c r="EJ112" s="776"/>
      <c r="EK112" s="776"/>
      <c r="EL112" s="776"/>
      <c r="EM112" s="776"/>
      <c r="EN112" s="776"/>
      <c r="EO112" s="776"/>
      <c r="EP112" s="776"/>
      <c r="EQ112" s="776"/>
      <c r="ER112" s="776"/>
      <c r="ES112" s="776"/>
      <c r="ET112" s="776"/>
      <c r="EU112" s="776"/>
      <c r="EV112" s="776"/>
      <c r="EW112" s="776"/>
      <c r="EX112" s="776"/>
      <c r="EY112" s="776"/>
      <c r="EZ112" s="776"/>
      <c r="FA112" s="776"/>
      <c r="FB112" s="776"/>
      <c r="FC112" s="776"/>
      <c r="FD112" s="776"/>
      <c r="FE112" s="776"/>
      <c r="FF112" s="776"/>
      <c r="FG112" s="776"/>
      <c r="FH112" s="776"/>
      <c r="FI112" s="776"/>
      <c r="FJ112" s="776"/>
      <c r="FK112" s="776"/>
      <c r="FL112" s="776"/>
      <c r="FM112" s="776"/>
      <c r="FN112" s="776"/>
      <c r="FO112" s="776"/>
      <c r="FP112" s="776"/>
      <c r="FQ112" s="776"/>
      <c r="FR112" s="776"/>
      <c r="FS112" s="776"/>
      <c r="FT112" s="776"/>
      <c r="FU112" s="776"/>
      <c r="FV112" s="776"/>
      <c r="FW112" s="776"/>
      <c r="FX112" s="776"/>
      <c r="FY112" s="776"/>
      <c r="FZ112" s="776"/>
      <c r="GA112" s="776"/>
      <c r="GB112" s="776"/>
      <c r="GC112" s="776"/>
      <c r="GD112" s="776"/>
      <c r="GE112" s="776"/>
      <c r="GF112" s="776"/>
      <c r="GG112" s="776"/>
      <c r="GH112" s="776"/>
      <c r="GI112" s="776"/>
      <c r="GJ112" s="776"/>
      <c r="GK112" s="776"/>
      <c r="GL112" s="776"/>
      <c r="GM112" s="776"/>
      <c r="GN112" s="776"/>
      <c r="GO112" s="776"/>
      <c r="GP112" s="776"/>
      <c r="GQ112" s="776"/>
      <c r="GR112" s="776"/>
      <c r="GS112" s="776"/>
      <c r="GT112" s="776"/>
      <c r="GU112" s="776"/>
      <c r="GV112" s="776"/>
      <c r="GW112" s="776"/>
      <c r="GX112" s="776"/>
      <c r="GY112" s="776"/>
      <c r="GZ112" s="776"/>
      <c r="HA112" s="776"/>
      <c r="HB112" s="776"/>
      <c r="HC112" s="776"/>
      <c r="HD112" s="776"/>
      <c r="HE112" s="776"/>
      <c r="HF112" s="776"/>
      <c r="HG112" s="776"/>
      <c r="HH112" s="776"/>
      <c r="HI112" s="776"/>
      <c r="HJ112" s="776"/>
      <c r="HK112" s="776"/>
      <c r="HL112" s="776"/>
      <c r="HM112" s="776"/>
      <c r="HN112" s="776"/>
      <c r="HO112" s="776"/>
      <c r="HP112" s="776"/>
      <c r="HQ112" s="776"/>
      <c r="HR112" s="776"/>
      <c r="HS112" s="776"/>
      <c r="HT112" s="776"/>
      <c r="HU112" s="776"/>
      <c r="HV112" s="776"/>
      <c r="HW112" s="776"/>
      <c r="HX112" s="776"/>
      <c r="HY112" s="776"/>
      <c r="HZ112" s="776"/>
      <c r="IA112" s="776"/>
      <c r="IB112" s="776"/>
      <c r="IC112" s="776"/>
      <c r="ID112" s="776"/>
      <c r="IE112" s="776"/>
      <c r="IF112" s="776"/>
      <c r="IG112" s="776"/>
      <c r="IH112" s="776"/>
      <c r="II112" s="776"/>
      <c r="IJ112" s="776"/>
      <c r="IK112" s="776"/>
      <c r="IL112" s="776"/>
      <c r="IM112" s="776"/>
      <c r="IN112" s="776"/>
      <c r="IO112" s="768"/>
      <c r="IP112" s="768"/>
      <c r="IQ112" s="768"/>
      <c r="IR112" s="768"/>
      <c r="IS112" s="768"/>
      <c r="IT112" s="768"/>
      <c r="IU112" s="768"/>
      <c r="IV112" s="768"/>
    </row>
    <row r="113" spans="1:256" ht="13.5" customHeight="1">
      <c r="A113" s="72">
        <v>38</v>
      </c>
      <c r="B113" s="73">
        <v>271</v>
      </c>
      <c r="C113" s="73">
        <v>890351851</v>
      </c>
      <c r="D113" s="73" t="s">
        <v>696</v>
      </c>
      <c r="E113" s="73" t="s">
        <v>122</v>
      </c>
      <c r="F113" s="76">
        <f>F114</f>
        <v>7.2457692971855998</v>
      </c>
      <c r="G113" s="811"/>
      <c r="H113" s="74">
        <f>F113*G113</f>
        <v>0</v>
      </c>
      <c r="I113" s="545" t="s">
        <v>738</v>
      </c>
      <c r="J113" s="747"/>
      <c r="K113" s="373"/>
      <c r="L113" s="765"/>
      <c r="M113" s="765"/>
      <c r="N113" s="765"/>
      <c r="O113" s="765"/>
      <c r="P113" s="766"/>
      <c r="Q113" s="765"/>
      <c r="R113" s="765"/>
      <c r="S113" s="765"/>
      <c r="T113" s="765"/>
      <c r="U113" s="765"/>
      <c r="V113" s="765"/>
      <c r="W113" s="765"/>
      <c r="X113" s="765"/>
      <c r="Y113" s="765"/>
      <c r="Z113" s="765"/>
      <c r="AA113" s="765"/>
      <c r="AB113" s="765"/>
      <c r="AC113" s="765"/>
      <c r="AD113" s="765"/>
      <c r="AE113" s="765"/>
      <c r="AF113" s="765"/>
      <c r="AG113" s="765"/>
      <c r="AH113" s="765"/>
      <c r="AI113" s="765"/>
      <c r="AJ113" s="765"/>
      <c r="AK113" s="765"/>
      <c r="AL113" s="765"/>
      <c r="AM113" s="765"/>
      <c r="AN113" s="765"/>
      <c r="AO113" s="765"/>
      <c r="AP113" s="767"/>
      <c r="AQ113" s="767"/>
      <c r="AR113" s="767"/>
      <c r="AS113" s="767"/>
      <c r="AT113" s="767"/>
      <c r="AU113" s="767"/>
      <c r="AV113" s="767"/>
      <c r="AW113" s="767"/>
      <c r="AX113" s="767"/>
      <c r="AY113" s="767"/>
      <c r="AZ113" s="767"/>
      <c r="BA113" s="767"/>
      <c r="BB113" s="767"/>
      <c r="BC113" s="767"/>
      <c r="BD113" s="767"/>
      <c r="BE113" s="767"/>
      <c r="BF113" s="767"/>
      <c r="BG113" s="767"/>
      <c r="BH113" s="767"/>
      <c r="BI113" s="767"/>
      <c r="BJ113" s="767"/>
      <c r="BK113" s="767"/>
      <c r="BL113" s="767"/>
      <c r="BM113" s="767"/>
      <c r="BN113" s="767"/>
      <c r="BO113" s="767"/>
      <c r="BP113" s="767"/>
      <c r="BQ113" s="767"/>
      <c r="BR113" s="767"/>
      <c r="BS113" s="767"/>
      <c r="BT113" s="767"/>
      <c r="BU113" s="767"/>
      <c r="BV113" s="767"/>
      <c r="BW113" s="767"/>
      <c r="BX113" s="767"/>
      <c r="BY113" s="767"/>
      <c r="BZ113" s="767"/>
      <c r="CA113" s="767"/>
      <c r="CB113" s="767"/>
      <c r="CC113" s="767"/>
      <c r="CD113" s="767"/>
      <c r="CE113" s="767"/>
      <c r="CF113" s="767"/>
      <c r="CG113" s="767"/>
      <c r="CH113" s="767"/>
      <c r="CI113" s="767"/>
      <c r="CJ113" s="767"/>
      <c r="CK113" s="767"/>
      <c r="CL113" s="767"/>
      <c r="CM113" s="767"/>
      <c r="CN113" s="767"/>
      <c r="CO113" s="767"/>
      <c r="CP113" s="767"/>
      <c r="CQ113" s="767"/>
      <c r="CR113" s="767"/>
      <c r="CS113" s="767"/>
      <c r="CT113" s="767"/>
      <c r="CU113" s="767"/>
      <c r="CV113" s="767"/>
      <c r="CW113" s="767"/>
      <c r="CX113" s="767"/>
      <c r="CY113" s="767"/>
      <c r="CZ113" s="767"/>
      <c r="DA113" s="767"/>
      <c r="DB113" s="767"/>
      <c r="DC113" s="767"/>
      <c r="DD113" s="767"/>
      <c r="DE113" s="767"/>
      <c r="DF113" s="767"/>
      <c r="DG113" s="767"/>
      <c r="DH113" s="767"/>
      <c r="DI113" s="767"/>
      <c r="DJ113" s="767"/>
      <c r="DK113" s="767"/>
      <c r="DL113" s="767"/>
      <c r="DM113" s="767"/>
      <c r="DN113" s="767"/>
      <c r="DO113" s="767"/>
      <c r="DP113" s="767"/>
      <c r="DQ113" s="767"/>
      <c r="DR113" s="767"/>
      <c r="DS113" s="767"/>
      <c r="DT113" s="767"/>
      <c r="DU113" s="767"/>
      <c r="DV113" s="767"/>
      <c r="DW113" s="767"/>
      <c r="DX113" s="767"/>
      <c r="DY113" s="767"/>
      <c r="DZ113" s="767"/>
      <c r="EA113" s="767"/>
      <c r="EB113" s="767"/>
      <c r="EC113" s="767"/>
      <c r="ED113" s="767"/>
      <c r="EE113" s="767"/>
      <c r="EF113" s="767"/>
      <c r="EG113" s="767"/>
      <c r="EH113" s="767"/>
      <c r="EI113" s="767"/>
      <c r="EJ113" s="767"/>
      <c r="EK113" s="767"/>
      <c r="EL113" s="767"/>
      <c r="EM113" s="767"/>
      <c r="EN113" s="767"/>
      <c r="EO113" s="767"/>
      <c r="EP113" s="767"/>
      <c r="EQ113" s="767"/>
      <c r="ER113" s="767"/>
      <c r="ES113" s="767"/>
      <c r="ET113" s="767"/>
      <c r="EU113" s="767"/>
      <c r="EV113" s="767"/>
      <c r="EW113" s="767"/>
      <c r="EX113" s="767"/>
      <c r="EY113" s="767"/>
      <c r="EZ113" s="767"/>
      <c r="FA113" s="767"/>
      <c r="FB113" s="767"/>
      <c r="FC113" s="767"/>
      <c r="FD113" s="767"/>
      <c r="FE113" s="767"/>
      <c r="FF113" s="767"/>
      <c r="FG113" s="767"/>
      <c r="FH113" s="767"/>
      <c r="FI113" s="767"/>
      <c r="FJ113" s="767"/>
      <c r="FK113" s="767"/>
      <c r="FL113" s="767"/>
      <c r="FM113" s="767"/>
      <c r="FN113" s="767"/>
      <c r="FO113" s="767"/>
      <c r="FP113" s="767"/>
      <c r="FQ113" s="767"/>
      <c r="FR113" s="767"/>
      <c r="FS113" s="767"/>
      <c r="FT113" s="767"/>
      <c r="FU113" s="767"/>
      <c r="FV113" s="767"/>
      <c r="FW113" s="767"/>
      <c r="FX113" s="767"/>
      <c r="FY113" s="767"/>
      <c r="FZ113" s="767"/>
      <c r="GA113" s="767"/>
      <c r="GB113" s="767"/>
      <c r="GC113" s="767"/>
      <c r="GD113" s="767"/>
      <c r="GE113" s="767"/>
      <c r="GF113" s="767"/>
      <c r="GG113" s="767"/>
      <c r="GH113" s="767"/>
      <c r="GI113" s="767"/>
      <c r="GJ113" s="767"/>
      <c r="GK113" s="767"/>
      <c r="GL113" s="767"/>
      <c r="GM113" s="767"/>
      <c r="GN113" s="767"/>
      <c r="GO113" s="767"/>
      <c r="GP113" s="767"/>
      <c r="GQ113" s="767"/>
      <c r="GR113" s="767"/>
      <c r="GS113" s="767"/>
      <c r="GT113" s="767"/>
      <c r="GU113" s="767"/>
      <c r="GV113" s="767"/>
      <c r="GW113" s="767"/>
      <c r="GX113" s="767"/>
      <c r="GY113" s="767"/>
      <c r="GZ113" s="767"/>
      <c r="HA113" s="767"/>
      <c r="HB113" s="767"/>
      <c r="HC113" s="767"/>
      <c r="HD113" s="767"/>
      <c r="HE113" s="767"/>
      <c r="HF113" s="767"/>
      <c r="HG113" s="767"/>
      <c r="HH113" s="767"/>
      <c r="HI113" s="767"/>
      <c r="HJ113" s="767"/>
      <c r="HK113" s="767"/>
      <c r="HL113" s="767"/>
      <c r="HM113" s="767"/>
      <c r="HN113" s="767"/>
      <c r="HO113" s="767"/>
      <c r="HP113" s="767"/>
      <c r="HQ113" s="767"/>
      <c r="HR113" s="767"/>
      <c r="HS113" s="767"/>
      <c r="HT113" s="767"/>
      <c r="HU113" s="767"/>
      <c r="HV113" s="767"/>
      <c r="HW113" s="767"/>
      <c r="HX113" s="767"/>
      <c r="HY113" s="767"/>
      <c r="HZ113" s="767"/>
      <c r="IA113" s="767"/>
      <c r="IB113" s="767"/>
      <c r="IC113" s="767"/>
      <c r="ID113" s="767"/>
      <c r="IE113" s="767"/>
      <c r="IF113" s="767"/>
      <c r="IG113" s="767"/>
      <c r="IH113" s="767"/>
      <c r="II113" s="767"/>
      <c r="IJ113" s="767"/>
      <c r="IK113" s="767"/>
      <c r="IL113" s="767"/>
      <c r="IM113" s="767"/>
      <c r="IN113" s="767"/>
      <c r="IO113" s="768"/>
      <c r="IP113" s="768"/>
      <c r="IQ113" s="768"/>
      <c r="IR113" s="768"/>
      <c r="IS113" s="768"/>
      <c r="IT113" s="768"/>
      <c r="IU113" s="768"/>
      <c r="IV113" s="768"/>
    </row>
    <row r="114" spans="1:256" ht="13.5" customHeight="1">
      <c r="A114" s="769"/>
      <c r="B114" s="770"/>
      <c r="C114" s="771"/>
      <c r="D114" s="772" t="s">
        <v>720</v>
      </c>
      <c r="E114" s="771"/>
      <c r="F114" s="75">
        <f>((3.141592654*0.62*0.62)*3)*2</f>
        <v>7.2457692971855998</v>
      </c>
      <c r="G114" s="773"/>
      <c r="H114" s="773"/>
      <c r="I114" s="774"/>
      <c r="J114" s="775"/>
      <c r="K114" s="775"/>
      <c r="L114" s="775"/>
      <c r="M114" s="775"/>
      <c r="N114" s="775"/>
      <c r="O114" s="775"/>
      <c r="P114" s="775"/>
      <c r="Q114" s="775"/>
      <c r="R114" s="775"/>
      <c r="S114" s="775"/>
      <c r="T114" s="775"/>
      <c r="U114" s="775"/>
      <c r="V114" s="775"/>
      <c r="W114" s="775"/>
      <c r="X114" s="775"/>
      <c r="Y114" s="775"/>
      <c r="Z114" s="775"/>
      <c r="AA114" s="775"/>
      <c r="AB114" s="775"/>
      <c r="AC114" s="775"/>
      <c r="AD114" s="775"/>
      <c r="AE114" s="775"/>
      <c r="AF114" s="775"/>
      <c r="AG114" s="775"/>
      <c r="AH114" s="775"/>
      <c r="AI114" s="775"/>
      <c r="AJ114" s="775"/>
      <c r="AK114" s="775"/>
      <c r="AL114" s="775"/>
      <c r="AM114" s="775"/>
      <c r="AN114" s="775"/>
      <c r="AO114" s="775"/>
      <c r="AP114" s="776"/>
      <c r="AQ114" s="776"/>
      <c r="AR114" s="776"/>
      <c r="AS114" s="776"/>
      <c r="AT114" s="776"/>
      <c r="AU114" s="776"/>
      <c r="AV114" s="776"/>
      <c r="AW114" s="776"/>
      <c r="AX114" s="776"/>
      <c r="AY114" s="776"/>
      <c r="AZ114" s="776"/>
      <c r="BA114" s="776"/>
      <c r="BB114" s="776"/>
      <c r="BC114" s="776"/>
      <c r="BD114" s="776"/>
      <c r="BE114" s="776"/>
      <c r="BF114" s="776"/>
      <c r="BG114" s="776"/>
      <c r="BH114" s="776"/>
      <c r="BI114" s="776"/>
      <c r="BJ114" s="776"/>
      <c r="BK114" s="776"/>
      <c r="BL114" s="776"/>
      <c r="BM114" s="776"/>
      <c r="BN114" s="776"/>
      <c r="BO114" s="776"/>
      <c r="BP114" s="776"/>
      <c r="BQ114" s="776"/>
      <c r="BR114" s="776"/>
      <c r="BS114" s="776"/>
      <c r="BT114" s="776"/>
      <c r="BU114" s="776"/>
      <c r="BV114" s="776"/>
      <c r="BW114" s="776"/>
      <c r="BX114" s="776"/>
      <c r="BY114" s="776"/>
      <c r="BZ114" s="776"/>
      <c r="CA114" s="776"/>
      <c r="CB114" s="776"/>
      <c r="CC114" s="776"/>
      <c r="CD114" s="776"/>
      <c r="CE114" s="776"/>
      <c r="CF114" s="776"/>
      <c r="CG114" s="776"/>
      <c r="CH114" s="776"/>
      <c r="CI114" s="776"/>
      <c r="CJ114" s="776"/>
      <c r="CK114" s="776"/>
      <c r="CL114" s="776"/>
      <c r="CM114" s="776"/>
      <c r="CN114" s="776"/>
      <c r="CO114" s="776"/>
      <c r="CP114" s="776"/>
      <c r="CQ114" s="776"/>
      <c r="CR114" s="776"/>
      <c r="CS114" s="776"/>
      <c r="CT114" s="776"/>
      <c r="CU114" s="776"/>
      <c r="CV114" s="776"/>
      <c r="CW114" s="776"/>
      <c r="CX114" s="776"/>
      <c r="CY114" s="776"/>
      <c r="CZ114" s="776"/>
      <c r="DA114" s="776"/>
      <c r="DB114" s="776"/>
      <c r="DC114" s="776"/>
      <c r="DD114" s="776"/>
      <c r="DE114" s="776"/>
      <c r="DF114" s="776"/>
      <c r="DG114" s="776"/>
      <c r="DH114" s="776"/>
      <c r="DI114" s="776"/>
      <c r="DJ114" s="776"/>
      <c r="DK114" s="776"/>
      <c r="DL114" s="776"/>
      <c r="DM114" s="776"/>
      <c r="DN114" s="776"/>
      <c r="DO114" s="776"/>
      <c r="DP114" s="776"/>
      <c r="DQ114" s="776"/>
      <c r="DR114" s="776"/>
      <c r="DS114" s="776"/>
      <c r="DT114" s="776"/>
      <c r="DU114" s="776"/>
      <c r="DV114" s="776"/>
      <c r="DW114" s="776"/>
      <c r="DX114" s="776"/>
      <c r="DY114" s="776"/>
      <c r="DZ114" s="776"/>
      <c r="EA114" s="776"/>
      <c r="EB114" s="776"/>
      <c r="EC114" s="776"/>
      <c r="ED114" s="776"/>
      <c r="EE114" s="776"/>
      <c r="EF114" s="776"/>
      <c r="EG114" s="776"/>
      <c r="EH114" s="776"/>
      <c r="EI114" s="776"/>
      <c r="EJ114" s="776"/>
      <c r="EK114" s="776"/>
      <c r="EL114" s="776"/>
      <c r="EM114" s="776"/>
      <c r="EN114" s="776"/>
      <c r="EO114" s="776"/>
      <c r="EP114" s="776"/>
      <c r="EQ114" s="776"/>
      <c r="ER114" s="776"/>
      <c r="ES114" s="776"/>
      <c r="ET114" s="776"/>
      <c r="EU114" s="776"/>
      <c r="EV114" s="776"/>
      <c r="EW114" s="776"/>
      <c r="EX114" s="776"/>
      <c r="EY114" s="776"/>
      <c r="EZ114" s="776"/>
      <c r="FA114" s="776"/>
      <c r="FB114" s="776"/>
      <c r="FC114" s="776"/>
      <c r="FD114" s="776"/>
      <c r="FE114" s="776"/>
      <c r="FF114" s="776"/>
      <c r="FG114" s="776"/>
      <c r="FH114" s="776"/>
      <c r="FI114" s="776"/>
      <c r="FJ114" s="776"/>
      <c r="FK114" s="776"/>
      <c r="FL114" s="776"/>
      <c r="FM114" s="776"/>
      <c r="FN114" s="776"/>
      <c r="FO114" s="776"/>
      <c r="FP114" s="776"/>
      <c r="FQ114" s="776"/>
      <c r="FR114" s="776"/>
      <c r="FS114" s="776"/>
      <c r="FT114" s="776"/>
      <c r="FU114" s="776"/>
      <c r="FV114" s="776"/>
      <c r="FW114" s="776"/>
      <c r="FX114" s="776"/>
      <c r="FY114" s="776"/>
      <c r="FZ114" s="776"/>
      <c r="GA114" s="776"/>
      <c r="GB114" s="776"/>
      <c r="GC114" s="776"/>
      <c r="GD114" s="776"/>
      <c r="GE114" s="776"/>
      <c r="GF114" s="776"/>
      <c r="GG114" s="776"/>
      <c r="GH114" s="776"/>
      <c r="GI114" s="776"/>
      <c r="GJ114" s="776"/>
      <c r="GK114" s="776"/>
      <c r="GL114" s="776"/>
      <c r="GM114" s="776"/>
      <c r="GN114" s="776"/>
      <c r="GO114" s="776"/>
      <c r="GP114" s="776"/>
      <c r="GQ114" s="776"/>
      <c r="GR114" s="776"/>
      <c r="GS114" s="776"/>
      <c r="GT114" s="776"/>
      <c r="GU114" s="776"/>
      <c r="GV114" s="776"/>
      <c r="GW114" s="776"/>
      <c r="GX114" s="776"/>
      <c r="GY114" s="776"/>
      <c r="GZ114" s="776"/>
      <c r="HA114" s="776"/>
      <c r="HB114" s="776"/>
      <c r="HC114" s="776"/>
      <c r="HD114" s="776"/>
      <c r="HE114" s="776"/>
      <c r="HF114" s="776"/>
      <c r="HG114" s="776"/>
      <c r="HH114" s="776"/>
      <c r="HI114" s="776"/>
      <c r="HJ114" s="776"/>
      <c r="HK114" s="776"/>
      <c r="HL114" s="776"/>
      <c r="HM114" s="776"/>
      <c r="HN114" s="776"/>
      <c r="HO114" s="776"/>
      <c r="HP114" s="776"/>
      <c r="HQ114" s="776"/>
      <c r="HR114" s="776"/>
      <c r="HS114" s="776"/>
      <c r="HT114" s="776"/>
      <c r="HU114" s="776"/>
      <c r="HV114" s="776"/>
      <c r="HW114" s="776"/>
      <c r="HX114" s="776"/>
      <c r="HY114" s="776"/>
      <c r="HZ114" s="776"/>
      <c r="IA114" s="776"/>
      <c r="IB114" s="776"/>
      <c r="IC114" s="776"/>
      <c r="ID114" s="776"/>
      <c r="IE114" s="776"/>
      <c r="IF114" s="776"/>
      <c r="IG114" s="776"/>
      <c r="IH114" s="776"/>
      <c r="II114" s="776"/>
      <c r="IJ114" s="776"/>
      <c r="IK114" s="776"/>
      <c r="IL114" s="776"/>
      <c r="IM114" s="776"/>
      <c r="IN114" s="776"/>
      <c r="IO114" s="768"/>
      <c r="IP114" s="768"/>
      <c r="IQ114" s="768"/>
      <c r="IR114" s="768"/>
      <c r="IS114" s="768"/>
      <c r="IT114" s="768"/>
      <c r="IU114" s="768"/>
      <c r="IV114" s="768"/>
    </row>
    <row r="115" spans="1:256" ht="13.5" customHeight="1">
      <c r="A115" s="72">
        <v>39</v>
      </c>
      <c r="B115" s="73">
        <v>271</v>
      </c>
      <c r="C115" s="73">
        <v>899302811</v>
      </c>
      <c r="D115" s="73" t="s">
        <v>694</v>
      </c>
      <c r="E115" s="73" t="s">
        <v>102</v>
      </c>
      <c r="F115" s="76">
        <f>F116</f>
        <v>2</v>
      </c>
      <c r="G115" s="811"/>
      <c r="H115" s="74">
        <f>F115*G115</f>
        <v>0</v>
      </c>
      <c r="I115" s="545" t="s">
        <v>738</v>
      </c>
      <c r="J115" s="747"/>
      <c r="K115" s="373"/>
      <c r="L115" s="765"/>
      <c r="M115" s="765"/>
      <c r="N115" s="765"/>
      <c r="O115" s="765"/>
      <c r="P115" s="766"/>
      <c r="Q115" s="765"/>
      <c r="R115" s="765"/>
      <c r="S115" s="765"/>
      <c r="T115" s="765"/>
      <c r="U115" s="765"/>
      <c r="V115" s="765"/>
      <c r="W115" s="765"/>
      <c r="X115" s="765"/>
      <c r="Y115" s="765"/>
      <c r="Z115" s="765"/>
      <c r="AA115" s="765"/>
      <c r="AB115" s="765"/>
      <c r="AC115" s="765"/>
      <c r="AD115" s="765"/>
      <c r="AE115" s="765"/>
      <c r="AF115" s="765"/>
      <c r="AG115" s="765"/>
      <c r="AH115" s="765"/>
      <c r="AI115" s="765"/>
      <c r="AJ115" s="765"/>
      <c r="AK115" s="765"/>
      <c r="AL115" s="765"/>
      <c r="AM115" s="765"/>
      <c r="AN115" s="765"/>
      <c r="AO115" s="765"/>
      <c r="AP115" s="767"/>
      <c r="AQ115" s="767"/>
      <c r="AR115" s="767"/>
      <c r="AS115" s="767"/>
      <c r="AT115" s="767"/>
      <c r="AU115" s="767"/>
      <c r="AV115" s="767"/>
      <c r="AW115" s="767"/>
      <c r="AX115" s="767"/>
      <c r="AY115" s="767"/>
      <c r="AZ115" s="767"/>
      <c r="BA115" s="767"/>
      <c r="BB115" s="767"/>
      <c r="BC115" s="767"/>
      <c r="BD115" s="767"/>
      <c r="BE115" s="767"/>
      <c r="BF115" s="767"/>
      <c r="BG115" s="767"/>
      <c r="BH115" s="767"/>
      <c r="BI115" s="767"/>
      <c r="BJ115" s="767"/>
      <c r="BK115" s="767"/>
      <c r="BL115" s="767"/>
      <c r="BM115" s="767"/>
      <c r="BN115" s="767"/>
      <c r="BO115" s="767"/>
      <c r="BP115" s="767"/>
      <c r="BQ115" s="767"/>
      <c r="BR115" s="767"/>
      <c r="BS115" s="767"/>
      <c r="BT115" s="767"/>
      <c r="BU115" s="767"/>
      <c r="BV115" s="767"/>
      <c r="BW115" s="767"/>
      <c r="BX115" s="767"/>
      <c r="BY115" s="767"/>
      <c r="BZ115" s="767"/>
      <c r="CA115" s="767"/>
      <c r="CB115" s="767"/>
      <c r="CC115" s="767"/>
      <c r="CD115" s="767"/>
      <c r="CE115" s="767"/>
      <c r="CF115" s="767"/>
      <c r="CG115" s="767"/>
      <c r="CH115" s="767"/>
      <c r="CI115" s="767"/>
      <c r="CJ115" s="767"/>
      <c r="CK115" s="767"/>
      <c r="CL115" s="767"/>
      <c r="CM115" s="767"/>
      <c r="CN115" s="767"/>
      <c r="CO115" s="767"/>
      <c r="CP115" s="767"/>
      <c r="CQ115" s="767"/>
      <c r="CR115" s="767"/>
      <c r="CS115" s="767"/>
      <c r="CT115" s="767"/>
      <c r="CU115" s="767"/>
      <c r="CV115" s="767"/>
      <c r="CW115" s="767"/>
      <c r="CX115" s="767"/>
      <c r="CY115" s="767"/>
      <c r="CZ115" s="767"/>
      <c r="DA115" s="767"/>
      <c r="DB115" s="767"/>
      <c r="DC115" s="767"/>
      <c r="DD115" s="767"/>
      <c r="DE115" s="767"/>
      <c r="DF115" s="767"/>
      <c r="DG115" s="767"/>
      <c r="DH115" s="767"/>
      <c r="DI115" s="767"/>
      <c r="DJ115" s="767"/>
      <c r="DK115" s="767"/>
      <c r="DL115" s="767"/>
      <c r="DM115" s="767"/>
      <c r="DN115" s="767"/>
      <c r="DO115" s="767"/>
      <c r="DP115" s="767"/>
      <c r="DQ115" s="767"/>
      <c r="DR115" s="767"/>
      <c r="DS115" s="767"/>
      <c r="DT115" s="767"/>
      <c r="DU115" s="767"/>
      <c r="DV115" s="767"/>
      <c r="DW115" s="767"/>
      <c r="DX115" s="767"/>
      <c r="DY115" s="767"/>
      <c r="DZ115" s="767"/>
      <c r="EA115" s="767"/>
      <c r="EB115" s="767"/>
      <c r="EC115" s="767"/>
      <c r="ED115" s="767"/>
      <c r="EE115" s="767"/>
      <c r="EF115" s="767"/>
      <c r="EG115" s="767"/>
      <c r="EH115" s="767"/>
      <c r="EI115" s="767"/>
      <c r="EJ115" s="767"/>
      <c r="EK115" s="767"/>
      <c r="EL115" s="767"/>
      <c r="EM115" s="767"/>
      <c r="EN115" s="767"/>
      <c r="EO115" s="767"/>
      <c r="EP115" s="767"/>
      <c r="EQ115" s="767"/>
      <c r="ER115" s="767"/>
      <c r="ES115" s="767"/>
      <c r="ET115" s="767"/>
      <c r="EU115" s="767"/>
      <c r="EV115" s="767"/>
      <c r="EW115" s="767"/>
      <c r="EX115" s="767"/>
      <c r="EY115" s="767"/>
      <c r="EZ115" s="767"/>
      <c r="FA115" s="767"/>
      <c r="FB115" s="767"/>
      <c r="FC115" s="767"/>
      <c r="FD115" s="767"/>
      <c r="FE115" s="767"/>
      <c r="FF115" s="767"/>
      <c r="FG115" s="767"/>
      <c r="FH115" s="767"/>
      <c r="FI115" s="767"/>
      <c r="FJ115" s="767"/>
      <c r="FK115" s="767"/>
      <c r="FL115" s="767"/>
      <c r="FM115" s="767"/>
      <c r="FN115" s="767"/>
      <c r="FO115" s="767"/>
      <c r="FP115" s="767"/>
      <c r="FQ115" s="767"/>
      <c r="FR115" s="767"/>
      <c r="FS115" s="767"/>
      <c r="FT115" s="767"/>
      <c r="FU115" s="767"/>
      <c r="FV115" s="767"/>
      <c r="FW115" s="767"/>
      <c r="FX115" s="767"/>
      <c r="FY115" s="767"/>
      <c r="FZ115" s="767"/>
      <c r="GA115" s="767"/>
      <c r="GB115" s="767"/>
      <c r="GC115" s="767"/>
      <c r="GD115" s="767"/>
      <c r="GE115" s="767"/>
      <c r="GF115" s="767"/>
      <c r="GG115" s="767"/>
      <c r="GH115" s="767"/>
      <c r="GI115" s="767"/>
      <c r="GJ115" s="767"/>
      <c r="GK115" s="767"/>
      <c r="GL115" s="767"/>
      <c r="GM115" s="767"/>
      <c r="GN115" s="767"/>
      <c r="GO115" s="767"/>
      <c r="GP115" s="767"/>
      <c r="GQ115" s="767"/>
      <c r="GR115" s="767"/>
      <c r="GS115" s="767"/>
      <c r="GT115" s="767"/>
      <c r="GU115" s="767"/>
      <c r="GV115" s="767"/>
      <c r="GW115" s="767"/>
      <c r="GX115" s="767"/>
      <c r="GY115" s="767"/>
      <c r="GZ115" s="767"/>
      <c r="HA115" s="767"/>
      <c r="HB115" s="767"/>
      <c r="HC115" s="767"/>
      <c r="HD115" s="767"/>
      <c r="HE115" s="767"/>
      <c r="HF115" s="767"/>
      <c r="HG115" s="767"/>
      <c r="HH115" s="767"/>
      <c r="HI115" s="767"/>
      <c r="HJ115" s="767"/>
      <c r="HK115" s="767"/>
      <c r="HL115" s="767"/>
      <c r="HM115" s="767"/>
      <c r="HN115" s="767"/>
      <c r="HO115" s="767"/>
      <c r="HP115" s="767"/>
      <c r="HQ115" s="767"/>
      <c r="HR115" s="767"/>
      <c r="HS115" s="767"/>
      <c r="HT115" s="767"/>
      <c r="HU115" s="767"/>
      <c r="HV115" s="767"/>
      <c r="HW115" s="767"/>
      <c r="HX115" s="767"/>
      <c r="HY115" s="767"/>
      <c r="HZ115" s="767"/>
      <c r="IA115" s="767"/>
      <c r="IB115" s="767"/>
      <c r="IC115" s="767"/>
      <c r="ID115" s="767"/>
      <c r="IE115" s="767"/>
      <c r="IF115" s="767"/>
      <c r="IG115" s="767"/>
      <c r="IH115" s="767"/>
      <c r="II115" s="767"/>
      <c r="IJ115" s="767"/>
      <c r="IK115" s="767"/>
      <c r="IL115" s="767"/>
      <c r="IM115" s="767"/>
      <c r="IN115" s="767"/>
      <c r="IO115" s="768"/>
      <c r="IP115" s="768"/>
      <c r="IQ115" s="768"/>
      <c r="IR115" s="768"/>
      <c r="IS115" s="768"/>
      <c r="IT115" s="768"/>
      <c r="IU115" s="768"/>
      <c r="IV115" s="768"/>
    </row>
    <row r="116" spans="1:256" ht="13.5" customHeight="1">
      <c r="A116" s="769"/>
      <c r="B116" s="770"/>
      <c r="C116" s="771"/>
      <c r="D116" s="772" t="s">
        <v>695</v>
      </c>
      <c r="E116" s="771"/>
      <c r="F116" s="75">
        <v>2</v>
      </c>
      <c r="G116" s="773"/>
      <c r="H116" s="773"/>
      <c r="I116" s="774"/>
      <c r="J116" s="775"/>
      <c r="K116" s="775"/>
      <c r="L116" s="775"/>
      <c r="M116" s="775"/>
      <c r="N116" s="775"/>
      <c r="O116" s="775"/>
      <c r="P116" s="775"/>
      <c r="Q116" s="775"/>
      <c r="R116" s="775"/>
      <c r="S116" s="775"/>
      <c r="T116" s="775"/>
      <c r="U116" s="775"/>
      <c r="V116" s="775"/>
      <c r="W116" s="775"/>
      <c r="X116" s="775"/>
      <c r="Y116" s="775"/>
      <c r="Z116" s="775"/>
      <c r="AA116" s="775"/>
      <c r="AB116" s="775"/>
      <c r="AC116" s="775"/>
      <c r="AD116" s="775"/>
      <c r="AE116" s="775"/>
      <c r="AF116" s="775"/>
      <c r="AG116" s="775"/>
      <c r="AH116" s="775"/>
      <c r="AI116" s="775"/>
      <c r="AJ116" s="775"/>
      <c r="AK116" s="775"/>
      <c r="AL116" s="775"/>
      <c r="AM116" s="775"/>
      <c r="AN116" s="775"/>
      <c r="AO116" s="775"/>
      <c r="AP116" s="776"/>
      <c r="AQ116" s="776"/>
      <c r="AR116" s="776"/>
      <c r="AS116" s="776"/>
      <c r="AT116" s="776"/>
      <c r="AU116" s="776"/>
      <c r="AV116" s="776"/>
      <c r="AW116" s="776"/>
      <c r="AX116" s="776"/>
      <c r="AY116" s="776"/>
      <c r="AZ116" s="776"/>
      <c r="BA116" s="776"/>
      <c r="BB116" s="776"/>
      <c r="BC116" s="776"/>
      <c r="BD116" s="776"/>
      <c r="BE116" s="776"/>
      <c r="BF116" s="776"/>
      <c r="BG116" s="776"/>
      <c r="BH116" s="776"/>
      <c r="BI116" s="776"/>
      <c r="BJ116" s="776"/>
      <c r="BK116" s="776"/>
      <c r="BL116" s="776"/>
      <c r="BM116" s="776"/>
      <c r="BN116" s="776"/>
      <c r="BO116" s="776"/>
      <c r="BP116" s="776"/>
      <c r="BQ116" s="776"/>
      <c r="BR116" s="776"/>
      <c r="BS116" s="776"/>
      <c r="BT116" s="776"/>
      <c r="BU116" s="776"/>
      <c r="BV116" s="776"/>
      <c r="BW116" s="776"/>
      <c r="BX116" s="776"/>
      <c r="BY116" s="776"/>
      <c r="BZ116" s="776"/>
      <c r="CA116" s="776"/>
      <c r="CB116" s="776"/>
      <c r="CC116" s="776"/>
      <c r="CD116" s="776"/>
      <c r="CE116" s="776"/>
      <c r="CF116" s="776"/>
      <c r="CG116" s="776"/>
      <c r="CH116" s="776"/>
      <c r="CI116" s="776"/>
      <c r="CJ116" s="776"/>
      <c r="CK116" s="776"/>
      <c r="CL116" s="776"/>
      <c r="CM116" s="776"/>
      <c r="CN116" s="776"/>
      <c r="CO116" s="776"/>
      <c r="CP116" s="776"/>
      <c r="CQ116" s="776"/>
      <c r="CR116" s="776"/>
      <c r="CS116" s="776"/>
      <c r="CT116" s="776"/>
      <c r="CU116" s="776"/>
      <c r="CV116" s="776"/>
      <c r="CW116" s="776"/>
      <c r="CX116" s="776"/>
      <c r="CY116" s="776"/>
      <c r="CZ116" s="776"/>
      <c r="DA116" s="776"/>
      <c r="DB116" s="776"/>
      <c r="DC116" s="776"/>
      <c r="DD116" s="776"/>
      <c r="DE116" s="776"/>
      <c r="DF116" s="776"/>
      <c r="DG116" s="776"/>
      <c r="DH116" s="776"/>
      <c r="DI116" s="776"/>
      <c r="DJ116" s="776"/>
      <c r="DK116" s="776"/>
      <c r="DL116" s="776"/>
      <c r="DM116" s="776"/>
      <c r="DN116" s="776"/>
      <c r="DO116" s="776"/>
      <c r="DP116" s="776"/>
      <c r="DQ116" s="776"/>
      <c r="DR116" s="776"/>
      <c r="DS116" s="776"/>
      <c r="DT116" s="776"/>
      <c r="DU116" s="776"/>
      <c r="DV116" s="776"/>
      <c r="DW116" s="776"/>
      <c r="DX116" s="776"/>
      <c r="DY116" s="776"/>
      <c r="DZ116" s="776"/>
      <c r="EA116" s="776"/>
      <c r="EB116" s="776"/>
      <c r="EC116" s="776"/>
      <c r="ED116" s="776"/>
      <c r="EE116" s="776"/>
      <c r="EF116" s="776"/>
      <c r="EG116" s="776"/>
      <c r="EH116" s="776"/>
      <c r="EI116" s="776"/>
      <c r="EJ116" s="776"/>
      <c r="EK116" s="776"/>
      <c r="EL116" s="776"/>
      <c r="EM116" s="776"/>
      <c r="EN116" s="776"/>
      <c r="EO116" s="776"/>
      <c r="EP116" s="776"/>
      <c r="EQ116" s="776"/>
      <c r="ER116" s="776"/>
      <c r="ES116" s="776"/>
      <c r="ET116" s="776"/>
      <c r="EU116" s="776"/>
      <c r="EV116" s="776"/>
      <c r="EW116" s="776"/>
      <c r="EX116" s="776"/>
      <c r="EY116" s="776"/>
      <c r="EZ116" s="776"/>
      <c r="FA116" s="776"/>
      <c r="FB116" s="776"/>
      <c r="FC116" s="776"/>
      <c r="FD116" s="776"/>
      <c r="FE116" s="776"/>
      <c r="FF116" s="776"/>
      <c r="FG116" s="776"/>
      <c r="FH116" s="776"/>
      <c r="FI116" s="776"/>
      <c r="FJ116" s="776"/>
      <c r="FK116" s="776"/>
      <c r="FL116" s="776"/>
      <c r="FM116" s="776"/>
      <c r="FN116" s="776"/>
      <c r="FO116" s="776"/>
      <c r="FP116" s="776"/>
      <c r="FQ116" s="776"/>
      <c r="FR116" s="776"/>
      <c r="FS116" s="776"/>
      <c r="FT116" s="776"/>
      <c r="FU116" s="776"/>
      <c r="FV116" s="776"/>
      <c r="FW116" s="776"/>
      <c r="FX116" s="776"/>
      <c r="FY116" s="776"/>
      <c r="FZ116" s="776"/>
      <c r="GA116" s="776"/>
      <c r="GB116" s="776"/>
      <c r="GC116" s="776"/>
      <c r="GD116" s="776"/>
      <c r="GE116" s="776"/>
      <c r="GF116" s="776"/>
      <c r="GG116" s="776"/>
      <c r="GH116" s="776"/>
      <c r="GI116" s="776"/>
      <c r="GJ116" s="776"/>
      <c r="GK116" s="776"/>
      <c r="GL116" s="776"/>
      <c r="GM116" s="776"/>
      <c r="GN116" s="776"/>
      <c r="GO116" s="776"/>
      <c r="GP116" s="776"/>
      <c r="GQ116" s="776"/>
      <c r="GR116" s="776"/>
      <c r="GS116" s="776"/>
      <c r="GT116" s="776"/>
      <c r="GU116" s="776"/>
      <c r="GV116" s="776"/>
      <c r="GW116" s="776"/>
      <c r="GX116" s="776"/>
      <c r="GY116" s="776"/>
      <c r="GZ116" s="776"/>
      <c r="HA116" s="776"/>
      <c r="HB116" s="776"/>
      <c r="HC116" s="776"/>
      <c r="HD116" s="776"/>
      <c r="HE116" s="776"/>
      <c r="HF116" s="776"/>
      <c r="HG116" s="776"/>
      <c r="HH116" s="776"/>
      <c r="HI116" s="776"/>
      <c r="HJ116" s="776"/>
      <c r="HK116" s="776"/>
      <c r="HL116" s="776"/>
      <c r="HM116" s="776"/>
      <c r="HN116" s="776"/>
      <c r="HO116" s="776"/>
      <c r="HP116" s="776"/>
      <c r="HQ116" s="776"/>
      <c r="HR116" s="776"/>
      <c r="HS116" s="776"/>
      <c r="HT116" s="776"/>
      <c r="HU116" s="776"/>
      <c r="HV116" s="776"/>
      <c r="HW116" s="776"/>
      <c r="HX116" s="776"/>
      <c r="HY116" s="776"/>
      <c r="HZ116" s="776"/>
      <c r="IA116" s="776"/>
      <c r="IB116" s="776"/>
      <c r="IC116" s="776"/>
      <c r="ID116" s="776"/>
      <c r="IE116" s="776"/>
      <c r="IF116" s="776"/>
      <c r="IG116" s="776"/>
      <c r="IH116" s="776"/>
      <c r="II116" s="776"/>
      <c r="IJ116" s="776"/>
      <c r="IK116" s="776"/>
      <c r="IL116" s="776"/>
      <c r="IM116" s="776"/>
      <c r="IN116" s="776"/>
      <c r="IO116" s="768"/>
      <c r="IP116" s="768"/>
      <c r="IQ116" s="768"/>
      <c r="IR116" s="768"/>
      <c r="IS116" s="768"/>
      <c r="IT116" s="768"/>
      <c r="IU116" s="768"/>
      <c r="IV116" s="768"/>
    </row>
    <row r="117" spans="1:256" ht="13.5" customHeight="1">
      <c r="A117" s="530">
        <v>40</v>
      </c>
      <c r="B117" s="34">
        <v>271</v>
      </c>
      <c r="C117" s="34" t="s">
        <v>270</v>
      </c>
      <c r="D117" s="34" t="s">
        <v>573</v>
      </c>
      <c r="E117" s="34" t="s">
        <v>115</v>
      </c>
      <c r="F117" s="534">
        <f>F118</f>
        <v>14</v>
      </c>
      <c r="G117" s="79"/>
      <c r="H117" s="532">
        <f>F117*G117</f>
        <v>0</v>
      </c>
      <c r="I117" s="533" t="s">
        <v>739</v>
      </c>
      <c r="J117" s="685"/>
      <c r="K117" s="665"/>
      <c r="L117" s="686"/>
      <c r="M117" s="687"/>
      <c r="N117" s="686"/>
      <c r="O117" s="688"/>
      <c r="P117" s="668"/>
      <c r="Q117" s="689"/>
      <c r="R117" s="670"/>
      <c r="T117" s="686"/>
      <c r="U117" s="509"/>
      <c r="V117" s="691"/>
      <c r="W117" s="509"/>
      <c r="X117" s="509"/>
      <c r="Y117" s="509"/>
      <c r="Z117" s="509"/>
      <c r="AA117" s="509"/>
      <c r="AB117" s="509"/>
      <c r="AC117" s="509"/>
      <c r="AD117" s="509"/>
      <c r="AE117" s="509"/>
      <c r="AF117" s="509"/>
      <c r="AG117" s="509"/>
      <c r="AH117" s="509"/>
      <c r="AI117" s="509"/>
      <c r="AJ117" s="509"/>
      <c r="AK117" s="509"/>
      <c r="AL117" s="509"/>
      <c r="AM117" s="509"/>
      <c r="AN117" s="509"/>
      <c r="AO117" s="509"/>
      <c r="AP117" s="508"/>
      <c r="AQ117" s="508"/>
      <c r="AR117" s="508"/>
      <c r="AS117" s="508"/>
      <c r="AT117" s="508"/>
      <c r="AU117" s="508"/>
      <c r="AV117" s="508"/>
      <c r="AW117" s="508"/>
      <c r="AX117" s="508"/>
      <c r="AY117" s="508"/>
      <c r="AZ117" s="508"/>
      <c r="BA117" s="508"/>
      <c r="BB117" s="508"/>
      <c r="BC117" s="508"/>
      <c r="BD117" s="508"/>
      <c r="BE117" s="508"/>
      <c r="BF117" s="508"/>
      <c r="BG117" s="508"/>
      <c r="BH117" s="508"/>
      <c r="BI117" s="508"/>
      <c r="BJ117" s="508"/>
      <c r="BK117" s="508"/>
      <c r="BL117" s="508"/>
      <c r="BM117" s="508"/>
      <c r="BN117" s="508"/>
      <c r="BO117" s="508"/>
      <c r="BP117" s="508"/>
      <c r="BQ117" s="508"/>
      <c r="BR117" s="508"/>
      <c r="BS117" s="508"/>
      <c r="BT117" s="508"/>
      <c r="BU117" s="508"/>
      <c r="BV117" s="508"/>
      <c r="BW117" s="508"/>
      <c r="BX117" s="508"/>
      <c r="BY117" s="508"/>
      <c r="BZ117" s="508"/>
      <c r="CA117" s="508"/>
      <c r="CB117" s="508"/>
      <c r="CC117" s="508"/>
      <c r="CD117" s="508"/>
      <c r="CE117" s="508"/>
      <c r="CF117" s="508"/>
      <c r="CG117" s="508"/>
      <c r="CH117" s="508"/>
      <c r="CI117" s="508"/>
      <c r="CJ117" s="508"/>
      <c r="CK117" s="508"/>
      <c r="CL117" s="508"/>
      <c r="CM117" s="508"/>
      <c r="CN117" s="508"/>
      <c r="CO117" s="508"/>
      <c r="CP117" s="508"/>
      <c r="CQ117" s="508"/>
      <c r="CR117" s="508"/>
      <c r="CS117" s="508"/>
      <c r="CT117" s="508"/>
      <c r="CU117" s="508"/>
      <c r="CV117" s="508"/>
      <c r="CW117" s="508"/>
      <c r="CX117" s="508"/>
      <c r="CY117" s="508"/>
      <c r="CZ117" s="508"/>
      <c r="DA117" s="508"/>
      <c r="DB117" s="508"/>
      <c r="DC117" s="508"/>
      <c r="DD117" s="508"/>
      <c r="DE117" s="508"/>
      <c r="DF117" s="508"/>
      <c r="DG117" s="508"/>
      <c r="DH117" s="508"/>
      <c r="DI117" s="508"/>
      <c r="DJ117" s="508"/>
      <c r="DK117" s="508"/>
      <c r="DL117" s="508"/>
      <c r="DM117" s="508"/>
      <c r="DN117" s="508"/>
      <c r="DO117" s="508"/>
      <c r="DP117" s="508"/>
      <c r="DQ117" s="508"/>
      <c r="DR117" s="508"/>
      <c r="DS117" s="508"/>
      <c r="DT117" s="508"/>
      <c r="DU117" s="508"/>
      <c r="DV117" s="508"/>
      <c r="DW117" s="508"/>
      <c r="DX117" s="508"/>
      <c r="DY117" s="508"/>
      <c r="DZ117" s="508"/>
      <c r="EA117" s="508"/>
      <c r="EB117" s="508"/>
      <c r="EC117" s="508"/>
      <c r="ED117" s="508"/>
      <c r="EE117" s="508"/>
      <c r="EF117" s="508"/>
      <c r="EG117" s="508"/>
      <c r="EH117" s="508"/>
      <c r="EI117" s="508"/>
      <c r="EJ117" s="508"/>
      <c r="EK117" s="508"/>
      <c r="EL117" s="508"/>
      <c r="EM117" s="508"/>
      <c r="EN117" s="508"/>
      <c r="EO117" s="508"/>
      <c r="EP117" s="508"/>
      <c r="EQ117" s="508"/>
      <c r="ER117" s="508"/>
      <c r="ES117" s="508"/>
      <c r="ET117" s="508"/>
      <c r="EU117" s="508"/>
      <c r="EV117" s="508"/>
      <c r="EW117" s="508"/>
      <c r="EX117" s="508"/>
      <c r="EY117" s="508"/>
      <c r="EZ117" s="508"/>
      <c r="FA117" s="508"/>
      <c r="FB117" s="508"/>
      <c r="FC117" s="508"/>
      <c r="FD117" s="508"/>
      <c r="FE117" s="508"/>
      <c r="FF117" s="508"/>
      <c r="FG117" s="508"/>
      <c r="FH117" s="508"/>
      <c r="FI117" s="508"/>
      <c r="FJ117" s="508"/>
      <c r="FK117" s="508"/>
      <c r="FL117" s="508"/>
      <c r="FM117" s="508"/>
      <c r="FN117" s="508"/>
      <c r="FO117" s="508"/>
      <c r="FP117" s="508"/>
      <c r="FQ117" s="508"/>
      <c r="FR117" s="508"/>
      <c r="FS117" s="508"/>
      <c r="FT117" s="508"/>
      <c r="FU117" s="508"/>
      <c r="FV117" s="508"/>
      <c r="FW117" s="508"/>
      <c r="FX117" s="508"/>
      <c r="FY117" s="508"/>
      <c r="FZ117" s="508"/>
      <c r="GA117" s="508"/>
      <c r="GB117" s="508"/>
      <c r="GC117" s="508"/>
      <c r="GD117" s="508"/>
      <c r="GE117" s="508"/>
      <c r="GF117" s="508"/>
      <c r="GG117" s="508"/>
      <c r="GH117" s="508"/>
      <c r="GI117" s="508"/>
      <c r="GJ117" s="508"/>
      <c r="GK117" s="508"/>
      <c r="GL117" s="508"/>
      <c r="GM117" s="508"/>
      <c r="GN117" s="508"/>
      <c r="GO117" s="508"/>
      <c r="GP117" s="508"/>
      <c r="GQ117" s="508"/>
      <c r="GR117" s="508"/>
      <c r="GS117" s="508"/>
      <c r="GT117" s="508"/>
      <c r="GU117" s="508"/>
      <c r="GV117" s="508"/>
      <c r="GW117" s="508"/>
      <c r="GX117" s="508"/>
      <c r="GY117" s="508"/>
      <c r="GZ117" s="508"/>
      <c r="HA117" s="508"/>
      <c r="HB117" s="508"/>
      <c r="HC117" s="508"/>
      <c r="HD117" s="508"/>
      <c r="HE117" s="508"/>
      <c r="HF117" s="508"/>
      <c r="HG117" s="508"/>
      <c r="HH117" s="508"/>
      <c r="HI117" s="508"/>
      <c r="HJ117" s="508"/>
      <c r="HK117" s="508"/>
      <c r="HL117" s="508"/>
      <c r="HM117" s="508"/>
      <c r="HN117" s="508"/>
      <c r="HO117" s="508"/>
      <c r="HP117" s="508"/>
      <c r="HQ117" s="508"/>
      <c r="HR117" s="508"/>
      <c r="HS117" s="508"/>
      <c r="HT117" s="508"/>
      <c r="HU117" s="508"/>
      <c r="HV117" s="508"/>
      <c r="HW117" s="508"/>
      <c r="HX117" s="508"/>
      <c r="HY117" s="508"/>
      <c r="HZ117" s="508"/>
      <c r="IA117" s="508"/>
      <c r="IB117" s="508"/>
      <c r="IC117" s="508"/>
      <c r="ID117" s="508"/>
      <c r="IE117" s="508"/>
      <c r="IF117" s="508"/>
      <c r="IG117" s="508"/>
      <c r="IH117" s="508"/>
      <c r="II117" s="508"/>
      <c r="IJ117" s="508"/>
      <c r="IK117" s="508"/>
      <c r="IL117" s="508"/>
      <c r="IM117" s="508"/>
      <c r="IN117" s="508"/>
      <c r="IO117" s="508"/>
      <c r="IP117" s="508"/>
      <c r="IQ117" s="508"/>
      <c r="IR117" s="508"/>
      <c r="IS117" s="508"/>
      <c r="IT117" s="508"/>
      <c r="IU117" s="508"/>
      <c r="IV117" s="508"/>
    </row>
    <row r="118" spans="1:256" ht="13.5" customHeight="1">
      <c r="A118" s="530"/>
      <c r="B118" s="34"/>
      <c r="C118" s="34"/>
      <c r="D118" s="36" t="s">
        <v>788</v>
      </c>
      <c r="E118" s="34"/>
      <c r="F118" s="548">
        <f>7.8+6.2</f>
        <v>14</v>
      </c>
      <c r="G118" s="532"/>
      <c r="H118" s="532"/>
      <c r="I118" s="672"/>
      <c r="J118" s="685"/>
      <c r="U118" s="509"/>
      <c r="V118" s="509"/>
      <c r="W118" s="509"/>
      <c r="X118" s="509"/>
      <c r="Y118" s="509"/>
      <c r="Z118" s="509"/>
      <c r="AA118" s="509"/>
      <c r="AB118" s="509"/>
      <c r="AC118" s="509"/>
      <c r="AD118" s="509"/>
      <c r="AE118" s="509"/>
      <c r="AF118" s="509"/>
      <c r="AG118" s="509"/>
      <c r="AH118" s="509"/>
      <c r="AI118" s="509"/>
      <c r="AJ118" s="509"/>
      <c r="AK118" s="509"/>
      <c r="AL118" s="509"/>
      <c r="AM118" s="509"/>
      <c r="AN118" s="509"/>
      <c r="AO118" s="509"/>
      <c r="AP118" s="508"/>
      <c r="AQ118" s="508"/>
      <c r="AR118" s="508"/>
      <c r="AS118" s="508"/>
      <c r="AT118" s="508"/>
      <c r="AU118" s="508"/>
      <c r="AV118" s="508"/>
      <c r="AW118" s="508"/>
      <c r="AX118" s="508"/>
      <c r="AY118" s="508"/>
      <c r="AZ118" s="508"/>
      <c r="BA118" s="508"/>
      <c r="BB118" s="508"/>
      <c r="BC118" s="508"/>
      <c r="BD118" s="508"/>
      <c r="BE118" s="508"/>
      <c r="BF118" s="508"/>
      <c r="BG118" s="508"/>
      <c r="BH118" s="508"/>
      <c r="BI118" s="508"/>
      <c r="BJ118" s="508"/>
      <c r="BK118" s="508"/>
      <c r="BL118" s="508"/>
      <c r="BM118" s="508"/>
      <c r="BN118" s="508"/>
      <c r="BO118" s="508"/>
      <c r="BP118" s="508"/>
      <c r="BQ118" s="508"/>
      <c r="BR118" s="508"/>
      <c r="BS118" s="508"/>
      <c r="BT118" s="508"/>
      <c r="BU118" s="508"/>
      <c r="BV118" s="508"/>
      <c r="BW118" s="508"/>
      <c r="BX118" s="508"/>
      <c r="BY118" s="508"/>
      <c r="BZ118" s="508"/>
      <c r="CA118" s="508"/>
      <c r="CB118" s="508"/>
      <c r="CC118" s="508"/>
      <c r="CD118" s="508"/>
      <c r="CE118" s="508"/>
      <c r="CF118" s="508"/>
      <c r="CG118" s="508"/>
      <c r="CH118" s="508"/>
      <c r="CI118" s="508"/>
      <c r="CJ118" s="508"/>
      <c r="CK118" s="508"/>
      <c r="CL118" s="508"/>
      <c r="CM118" s="508"/>
      <c r="CN118" s="508"/>
      <c r="CO118" s="508"/>
      <c r="CP118" s="508"/>
      <c r="CQ118" s="508"/>
      <c r="CR118" s="508"/>
      <c r="CS118" s="508"/>
      <c r="CT118" s="508"/>
      <c r="CU118" s="508"/>
      <c r="CV118" s="508"/>
      <c r="CW118" s="508"/>
      <c r="CX118" s="508"/>
      <c r="CY118" s="508"/>
      <c r="CZ118" s="508"/>
      <c r="DA118" s="508"/>
      <c r="DB118" s="508"/>
      <c r="DC118" s="508"/>
      <c r="DD118" s="508"/>
      <c r="DE118" s="508"/>
      <c r="DF118" s="508"/>
      <c r="DG118" s="508"/>
      <c r="DH118" s="508"/>
      <c r="DI118" s="508"/>
      <c r="DJ118" s="508"/>
      <c r="DK118" s="508"/>
      <c r="DL118" s="508"/>
      <c r="DM118" s="508"/>
      <c r="DN118" s="508"/>
      <c r="DO118" s="508"/>
      <c r="DP118" s="508"/>
      <c r="DQ118" s="508"/>
      <c r="DR118" s="508"/>
      <c r="DS118" s="508"/>
      <c r="DT118" s="508"/>
      <c r="DU118" s="508"/>
      <c r="DV118" s="508"/>
      <c r="DW118" s="508"/>
      <c r="DX118" s="508"/>
      <c r="DY118" s="508"/>
      <c r="DZ118" s="508"/>
      <c r="EA118" s="508"/>
      <c r="EB118" s="508"/>
      <c r="EC118" s="508"/>
      <c r="ED118" s="508"/>
      <c r="EE118" s="508"/>
      <c r="EF118" s="508"/>
      <c r="EG118" s="508"/>
      <c r="EH118" s="508"/>
      <c r="EI118" s="508"/>
      <c r="EJ118" s="508"/>
      <c r="EK118" s="508"/>
      <c r="EL118" s="508"/>
      <c r="EM118" s="508"/>
      <c r="EN118" s="508"/>
      <c r="EO118" s="508"/>
      <c r="EP118" s="508"/>
      <c r="EQ118" s="508"/>
      <c r="ER118" s="508"/>
      <c r="ES118" s="508"/>
      <c r="ET118" s="508"/>
      <c r="EU118" s="508"/>
      <c r="EV118" s="508"/>
      <c r="EW118" s="508"/>
      <c r="EX118" s="508"/>
      <c r="EY118" s="508"/>
      <c r="EZ118" s="508"/>
      <c r="FA118" s="508"/>
      <c r="FB118" s="508"/>
      <c r="FC118" s="508"/>
      <c r="FD118" s="508"/>
      <c r="FE118" s="508"/>
      <c r="FF118" s="508"/>
      <c r="FG118" s="508"/>
      <c r="FH118" s="508"/>
      <c r="FI118" s="508"/>
      <c r="FJ118" s="508"/>
      <c r="FK118" s="508"/>
      <c r="FL118" s="508"/>
      <c r="FM118" s="508"/>
      <c r="FN118" s="508"/>
      <c r="FO118" s="508"/>
      <c r="FP118" s="508"/>
      <c r="FQ118" s="508"/>
      <c r="FR118" s="508"/>
      <c r="FS118" s="508"/>
      <c r="FT118" s="508"/>
      <c r="FU118" s="508"/>
      <c r="FV118" s="508"/>
      <c r="FW118" s="508"/>
      <c r="FX118" s="508"/>
      <c r="FY118" s="508"/>
      <c r="FZ118" s="508"/>
      <c r="GA118" s="508"/>
      <c r="GB118" s="508"/>
      <c r="GC118" s="508"/>
      <c r="GD118" s="508"/>
      <c r="GE118" s="508"/>
      <c r="GF118" s="508"/>
      <c r="GG118" s="508"/>
      <c r="GH118" s="508"/>
      <c r="GI118" s="508"/>
      <c r="GJ118" s="508"/>
      <c r="GK118" s="508"/>
      <c r="GL118" s="508"/>
      <c r="GM118" s="508"/>
      <c r="GN118" s="508"/>
      <c r="GO118" s="508"/>
      <c r="GP118" s="508"/>
      <c r="GQ118" s="508"/>
      <c r="GR118" s="508"/>
      <c r="GS118" s="508"/>
      <c r="GT118" s="508"/>
      <c r="GU118" s="508"/>
      <c r="GV118" s="508"/>
      <c r="GW118" s="508"/>
      <c r="GX118" s="508"/>
      <c r="GY118" s="508"/>
      <c r="GZ118" s="508"/>
      <c r="HA118" s="508"/>
      <c r="HB118" s="508"/>
      <c r="HC118" s="508"/>
      <c r="HD118" s="508"/>
      <c r="HE118" s="508"/>
      <c r="HF118" s="508"/>
      <c r="HG118" s="508"/>
      <c r="HH118" s="508"/>
      <c r="HI118" s="508"/>
      <c r="HJ118" s="508"/>
      <c r="HK118" s="508"/>
      <c r="HL118" s="508"/>
      <c r="HM118" s="508"/>
      <c r="HN118" s="508"/>
      <c r="HO118" s="508"/>
      <c r="HP118" s="508"/>
      <c r="HQ118" s="508"/>
      <c r="HR118" s="508"/>
      <c r="HS118" s="508"/>
      <c r="HT118" s="508"/>
      <c r="HU118" s="508"/>
      <c r="HV118" s="508"/>
      <c r="HW118" s="508"/>
      <c r="HX118" s="508"/>
      <c r="HY118" s="508"/>
      <c r="HZ118" s="508"/>
      <c r="IA118" s="508"/>
      <c r="IB118" s="508"/>
      <c r="IC118" s="508"/>
      <c r="ID118" s="508"/>
      <c r="IE118" s="508"/>
      <c r="IF118" s="508"/>
      <c r="IG118" s="508"/>
      <c r="IH118" s="508"/>
      <c r="II118" s="508"/>
      <c r="IJ118" s="508"/>
      <c r="IK118" s="508"/>
      <c r="IL118" s="508"/>
      <c r="IM118" s="508"/>
      <c r="IN118" s="508"/>
      <c r="IO118" s="508"/>
      <c r="IP118" s="508"/>
      <c r="IQ118" s="508"/>
      <c r="IR118" s="508"/>
      <c r="IS118" s="508"/>
      <c r="IT118" s="508"/>
      <c r="IU118" s="508"/>
      <c r="IV118" s="508"/>
    </row>
    <row r="119" spans="1:256" ht="67.5" customHeight="1">
      <c r="A119" s="530"/>
      <c r="B119" s="34"/>
      <c r="C119" s="34"/>
      <c r="D119" s="388" t="s">
        <v>195</v>
      </c>
      <c r="E119" s="34"/>
      <c r="F119" s="548"/>
      <c r="G119" s="532"/>
      <c r="H119" s="532"/>
      <c r="I119" s="672"/>
      <c r="J119" s="665"/>
      <c r="K119" s="665"/>
      <c r="L119" s="666"/>
      <c r="M119" s="666"/>
      <c r="N119" s="666"/>
      <c r="O119" s="667"/>
      <c r="P119" s="668"/>
      <c r="Q119" s="669"/>
      <c r="R119" s="670"/>
      <c r="S119" s="670"/>
      <c r="T119" s="671"/>
      <c r="U119" s="509"/>
      <c r="V119" s="509"/>
      <c r="W119" s="509"/>
      <c r="X119" s="509"/>
      <c r="Y119" s="509"/>
      <c r="Z119" s="509"/>
      <c r="AA119" s="509"/>
      <c r="AB119" s="509"/>
      <c r="AC119" s="509"/>
      <c r="AD119" s="509"/>
      <c r="AE119" s="509"/>
      <c r="AF119" s="509"/>
      <c r="AG119" s="509"/>
      <c r="AH119" s="509"/>
      <c r="AI119" s="509"/>
      <c r="AJ119" s="509"/>
      <c r="AK119" s="509"/>
      <c r="AL119" s="509"/>
      <c r="AM119" s="509"/>
      <c r="AN119" s="509"/>
      <c r="AO119" s="509"/>
      <c r="AP119" s="508"/>
      <c r="AQ119" s="508"/>
      <c r="AR119" s="508"/>
      <c r="AS119" s="508"/>
      <c r="AT119" s="508"/>
      <c r="AU119" s="508"/>
      <c r="AV119" s="508"/>
      <c r="AW119" s="508"/>
      <c r="AX119" s="508"/>
      <c r="AY119" s="508"/>
      <c r="AZ119" s="508"/>
      <c r="BA119" s="508"/>
      <c r="BB119" s="508"/>
      <c r="BC119" s="508"/>
      <c r="BD119" s="508"/>
      <c r="BE119" s="508"/>
      <c r="BF119" s="508"/>
      <c r="BG119" s="508"/>
      <c r="BH119" s="508"/>
      <c r="BI119" s="508"/>
      <c r="BJ119" s="508"/>
      <c r="BK119" s="508"/>
      <c r="BL119" s="508"/>
      <c r="BM119" s="508"/>
      <c r="BN119" s="508"/>
      <c r="BO119" s="508"/>
      <c r="BP119" s="508"/>
      <c r="BQ119" s="508"/>
      <c r="BR119" s="508"/>
      <c r="BS119" s="508"/>
      <c r="BT119" s="508"/>
      <c r="BU119" s="508"/>
      <c r="BV119" s="508"/>
      <c r="BW119" s="508"/>
      <c r="BX119" s="508"/>
      <c r="BY119" s="508"/>
      <c r="BZ119" s="508"/>
      <c r="CA119" s="508"/>
      <c r="CB119" s="508"/>
      <c r="CC119" s="508"/>
      <c r="CD119" s="508"/>
      <c r="CE119" s="508"/>
      <c r="CF119" s="508"/>
      <c r="CG119" s="508"/>
      <c r="CH119" s="508"/>
      <c r="CI119" s="508"/>
      <c r="CJ119" s="508"/>
      <c r="CK119" s="508"/>
      <c r="CL119" s="508"/>
      <c r="CM119" s="508"/>
      <c r="CN119" s="508"/>
      <c r="CO119" s="508"/>
      <c r="CP119" s="508"/>
      <c r="CQ119" s="508"/>
      <c r="CR119" s="508"/>
      <c r="CS119" s="508"/>
      <c r="CT119" s="508"/>
      <c r="CU119" s="508"/>
      <c r="CV119" s="508"/>
      <c r="CW119" s="508"/>
      <c r="CX119" s="508"/>
      <c r="CY119" s="508"/>
      <c r="CZ119" s="508"/>
      <c r="DA119" s="508"/>
      <c r="DB119" s="508"/>
      <c r="DC119" s="508"/>
      <c r="DD119" s="508"/>
      <c r="DE119" s="508"/>
      <c r="DF119" s="508"/>
      <c r="DG119" s="508"/>
      <c r="DH119" s="508"/>
      <c r="DI119" s="508"/>
      <c r="DJ119" s="508"/>
      <c r="DK119" s="508"/>
      <c r="DL119" s="508"/>
      <c r="DM119" s="508"/>
      <c r="DN119" s="508"/>
      <c r="DO119" s="508"/>
      <c r="DP119" s="508"/>
      <c r="DQ119" s="508"/>
      <c r="DR119" s="508"/>
      <c r="DS119" s="508"/>
      <c r="DT119" s="508"/>
      <c r="DU119" s="508"/>
      <c r="DV119" s="508"/>
      <c r="DW119" s="508"/>
      <c r="DX119" s="508"/>
      <c r="DY119" s="508"/>
      <c r="DZ119" s="508"/>
      <c r="EA119" s="508"/>
      <c r="EB119" s="508"/>
      <c r="EC119" s="508"/>
      <c r="ED119" s="508"/>
      <c r="EE119" s="508"/>
      <c r="EF119" s="508"/>
      <c r="EG119" s="508"/>
      <c r="EH119" s="508"/>
      <c r="EI119" s="508"/>
      <c r="EJ119" s="508"/>
      <c r="EK119" s="508"/>
      <c r="EL119" s="508"/>
      <c r="EM119" s="508"/>
      <c r="EN119" s="508"/>
      <c r="EO119" s="508"/>
      <c r="EP119" s="508"/>
      <c r="EQ119" s="508"/>
      <c r="ER119" s="508"/>
      <c r="ES119" s="508"/>
      <c r="ET119" s="508"/>
      <c r="EU119" s="508"/>
      <c r="EV119" s="508"/>
      <c r="EW119" s="508"/>
      <c r="EX119" s="508"/>
      <c r="EY119" s="508"/>
      <c r="EZ119" s="508"/>
      <c r="FA119" s="508"/>
      <c r="FB119" s="508"/>
      <c r="FC119" s="508"/>
      <c r="FD119" s="508"/>
      <c r="FE119" s="508"/>
      <c r="FF119" s="508"/>
      <c r="FG119" s="508"/>
      <c r="FH119" s="508"/>
      <c r="FI119" s="508"/>
      <c r="FJ119" s="508"/>
      <c r="FK119" s="508"/>
      <c r="FL119" s="508"/>
      <c r="FM119" s="508"/>
      <c r="FN119" s="508"/>
      <c r="FO119" s="508"/>
      <c r="FP119" s="508"/>
      <c r="FQ119" s="508"/>
      <c r="FR119" s="508"/>
      <c r="FS119" s="508"/>
      <c r="FT119" s="508"/>
      <c r="FU119" s="508"/>
      <c r="FV119" s="508"/>
      <c r="FW119" s="508"/>
      <c r="FX119" s="508"/>
      <c r="FY119" s="508"/>
      <c r="FZ119" s="508"/>
      <c r="GA119" s="508"/>
      <c r="GB119" s="508"/>
      <c r="GC119" s="508"/>
      <c r="GD119" s="508"/>
      <c r="GE119" s="508"/>
      <c r="GF119" s="508"/>
      <c r="GG119" s="508"/>
      <c r="GH119" s="508"/>
      <c r="GI119" s="508"/>
      <c r="GJ119" s="508"/>
      <c r="GK119" s="508"/>
      <c r="GL119" s="508"/>
      <c r="GM119" s="508"/>
      <c r="GN119" s="508"/>
      <c r="GO119" s="508"/>
      <c r="GP119" s="508"/>
      <c r="GQ119" s="508"/>
      <c r="GR119" s="508"/>
      <c r="GS119" s="508"/>
      <c r="GT119" s="508"/>
      <c r="GU119" s="508"/>
      <c r="GV119" s="508"/>
      <c r="GW119" s="508"/>
      <c r="GX119" s="508"/>
      <c r="GY119" s="508"/>
      <c r="GZ119" s="508"/>
      <c r="HA119" s="508"/>
      <c r="HB119" s="508"/>
      <c r="HC119" s="508"/>
      <c r="HD119" s="508"/>
      <c r="HE119" s="508"/>
      <c r="HF119" s="508"/>
      <c r="HG119" s="508"/>
      <c r="HH119" s="508"/>
      <c r="HI119" s="508"/>
      <c r="HJ119" s="508"/>
      <c r="HK119" s="508"/>
      <c r="HL119" s="508"/>
      <c r="HM119" s="508"/>
      <c r="HN119" s="508"/>
      <c r="HO119" s="508"/>
      <c r="HP119" s="508"/>
      <c r="HQ119" s="508"/>
      <c r="HR119" s="508"/>
      <c r="HS119" s="508"/>
      <c r="HT119" s="508"/>
      <c r="HU119" s="508"/>
      <c r="HV119" s="508"/>
      <c r="HW119" s="508"/>
      <c r="HX119" s="508"/>
      <c r="HY119" s="508"/>
      <c r="HZ119" s="508"/>
      <c r="IA119" s="508"/>
      <c r="IB119" s="508"/>
      <c r="IC119" s="508"/>
      <c r="ID119" s="508"/>
      <c r="IE119" s="508"/>
      <c r="IF119" s="508"/>
      <c r="IG119" s="508"/>
      <c r="IH119" s="508"/>
      <c r="II119" s="508"/>
      <c r="IJ119" s="508"/>
      <c r="IK119" s="508"/>
      <c r="IL119" s="508"/>
      <c r="IM119" s="508"/>
      <c r="IN119" s="508"/>
      <c r="IO119" s="508"/>
      <c r="IP119" s="508"/>
      <c r="IQ119" s="508"/>
      <c r="IR119" s="508"/>
      <c r="IS119" s="508"/>
      <c r="IT119" s="508"/>
      <c r="IU119" s="508"/>
      <c r="IV119" s="508"/>
    </row>
    <row r="120" spans="1:256" ht="13.5" customHeight="1">
      <c r="A120" s="530">
        <v>41</v>
      </c>
      <c r="B120" s="34">
        <v>271</v>
      </c>
      <c r="C120" s="34" t="s">
        <v>272</v>
      </c>
      <c r="D120" s="34" t="s">
        <v>574</v>
      </c>
      <c r="E120" s="34" t="s">
        <v>115</v>
      </c>
      <c r="F120" s="534">
        <f>F121</f>
        <v>14</v>
      </c>
      <c r="G120" s="79"/>
      <c r="H120" s="532">
        <f>F120*G120</f>
        <v>0</v>
      </c>
      <c r="I120" s="533" t="s">
        <v>739</v>
      </c>
      <c r="J120" s="685"/>
      <c r="K120" s="665"/>
      <c r="L120" s="686"/>
      <c r="M120" s="687"/>
      <c r="N120" s="686"/>
      <c r="O120" s="688"/>
      <c r="P120" s="668"/>
      <c r="Q120" s="689"/>
      <c r="R120" s="670"/>
      <c r="T120" s="686"/>
      <c r="U120" s="509"/>
      <c r="V120" s="691"/>
      <c r="W120" s="509"/>
      <c r="X120" s="509"/>
      <c r="Y120" s="509"/>
      <c r="Z120" s="509"/>
      <c r="AA120" s="509"/>
      <c r="AB120" s="509"/>
      <c r="AC120" s="509"/>
      <c r="AD120" s="509"/>
      <c r="AE120" s="509"/>
      <c r="AF120" s="509"/>
      <c r="AG120" s="509"/>
      <c r="AH120" s="509"/>
      <c r="AI120" s="509"/>
      <c r="AJ120" s="509"/>
      <c r="AK120" s="509"/>
      <c r="AL120" s="509"/>
      <c r="AM120" s="509"/>
      <c r="AN120" s="509"/>
      <c r="AO120" s="509"/>
      <c r="AP120" s="508"/>
      <c r="AQ120" s="508"/>
      <c r="AR120" s="508"/>
      <c r="AS120" s="508"/>
      <c r="AT120" s="508"/>
      <c r="AU120" s="508"/>
      <c r="AV120" s="508"/>
      <c r="AW120" s="508"/>
      <c r="AX120" s="508"/>
      <c r="AY120" s="508"/>
      <c r="AZ120" s="508"/>
      <c r="BA120" s="508"/>
      <c r="BB120" s="508"/>
      <c r="BC120" s="508"/>
      <c r="BD120" s="508"/>
      <c r="BE120" s="508"/>
      <c r="BF120" s="508"/>
      <c r="BG120" s="508"/>
      <c r="BH120" s="508"/>
      <c r="BI120" s="508"/>
      <c r="BJ120" s="508"/>
      <c r="BK120" s="508"/>
      <c r="BL120" s="508"/>
      <c r="BM120" s="508"/>
      <c r="BN120" s="508"/>
      <c r="BO120" s="508"/>
      <c r="BP120" s="508"/>
      <c r="BQ120" s="508"/>
      <c r="BR120" s="508"/>
      <c r="BS120" s="508"/>
      <c r="BT120" s="508"/>
      <c r="BU120" s="508"/>
      <c r="BV120" s="508"/>
      <c r="BW120" s="508"/>
      <c r="BX120" s="508"/>
      <c r="BY120" s="508"/>
      <c r="BZ120" s="508"/>
      <c r="CA120" s="508"/>
      <c r="CB120" s="508"/>
      <c r="CC120" s="508"/>
      <c r="CD120" s="508"/>
      <c r="CE120" s="508"/>
      <c r="CF120" s="508"/>
      <c r="CG120" s="508"/>
      <c r="CH120" s="508"/>
      <c r="CI120" s="508"/>
      <c r="CJ120" s="508"/>
      <c r="CK120" s="508"/>
      <c r="CL120" s="508"/>
      <c r="CM120" s="508"/>
      <c r="CN120" s="508"/>
      <c r="CO120" s="508"/>
      <c r="CP120" s="508"/>
      <c r="CQ120" s="508"/>
      <c r="CR120" s="508"/>
      <c r="CS120" s="508"/>
      <c r="CT120" s="508"/>
      <c r="CU120" s="508"/>
      <c r="CV120" s="508"/>
      <c r="CW120" s="508"/>
      <c r="CX120" s="508"/>
      <c r="CY120" s="508"/>
      <c r="CZ120" s="508"/>
      <c r="DA120" s="508"/>
      <c r="DB120" s="508"/>
      <c r="DC120" s="508"/>
      <c r="DD120" s="508"/>
      <c r="DE120" s="508"/>
      <c r="DF120" s="508"/>
      <c r="DG120" s="508"/>
      <c r="DH120" s="508"/>
      <c r="DI120" s="508"/>
      <c r="DJ120" s="508"/>
      <c r="DK120" s="508"/>
      <c r="DL120" s="508"/>
      <c r="DM120" s="508"/>
      <c r="DN120" s="508"/>
      <c r="DO120" s="508"/>
      <c r="DP120" s="508"/>
      <c r="DQ120" s="508"/>
      <c r="DR120" s="508"/>
      <c r="DS120" s="508"/>
      <c r="DT120" s="508"/>
      <c r="DU120" s="508"/>
      <c r="DV120" s="508"/>
      <c r="DW120" s="508"/>
      <c r="DX120" s="508"/>
      <c r="DY120" s="508"/>
      <c r="DZ120" s="508"/>
      <c r="EA120" s="508"/>
      <c r="EB120" s="508"/>
      <c r="EC120" s="508"/>
      <c r="ED120" s="508"/>
      <c r="EE120" s="508"/>
      <c r="EF120" s="508"/>
      <c r="EG120" s="508"/>
      <c r="EH120" s="508"/>
      <c r="EI120" s="508"/>
      <c r="EJ120" s="508"/>
      <c r="EK120" s="508"/>
      <c r="EL120" s="508"/>
      <c r="EM120" s="508"/>
      <c r="EN120" s="508"/>
      <c r="EO120" s="508"/>
      <c r="EP120" s="508"/>
      <c r="EQ120" s="508"/>
      <c r="ER120" s="508"/>
      <c r="ES120" s="508"/>
      <c r="ET120" s="508"/>
      <c r="EU120" s="508"/>
      <c r="EV120" s="508"/>
      <c r="EW120" s="508"/>
      <c r="EX120" s="508"/>
      <c r="EY120" s="508"/>
      <c r="EZ120" s="508"/>
      <c r="FA120" s="508"/>
      <c r="FB120" s="508"/>
      <c r="FC120" s="508"/>
      <c r="FD120" s="508"/>
      <c r="FE120" s="508"/>
      <c r="FF120" s="508"/>
      <c r="FG120" s="508"/>
      <c r="FH120" s="508"/>
      <c r="FI120" s="508"/>
      <c r="FJ120" s="508"/>
      <c r="FK120" s="508"/>
      <c r="FL120" s="508"/>
      <c r="FM120" s="508"/>
      <c r="FN120" s="508"/>
      <c r="FO120" s="508"/>
      <c r="FP120" s="508"/>
      <c r="FQ120" s="508"/>
      <c r="FR120" s="508"/>
      <c r="FS120" s="508"/>
      <c r="FT120" s="508"/>
      <c r="FU120" s="508"/>
      <c r="FV120" s="508"/>
      <c r="FW120" s="508"/>
      <c r="FX120" s="508"/>
      <c r="FY120" s="508"/>
      <c r="FZ120" s="508"/>
      <c r="GA120" s="508"/>
      <c r="GB120" s="508"/>
      <c r="GC120" s="508"/>
      <c r="GD120" s="508"/>
      <c r="GE120" s="508"/>
      <c r="GF120" s="508"/>
      <c r="GG120" s="508"/>
      <c r="GH120" s="508"/>
      <c r="GI120" s="508"/>
      <c r="GJ120" s="508"/>
      <c r="GK120" s="508"/>
      <c r="GL120" s="508"/>
      <c r="GM120" s="508"/>
      <c r="GN120" s="508"/>
      <c r="GO120" s="508"/>
      <c r="GP120" s="508"/>
      <c r="GQ120" s="508"/>
      <c r="GR120" s="508"/>
      <c r="GS120" s="508"/>
      <c r="GT120" s="508"/>
      <c r="GU120" s="508"/>
      <c r="GV120" s="508"/>
      <c r="GW120" s="508"/>
      <c r="GX120" s="508"/>
      <c r="GY120" s="508"/>
      <c r="GZ120" s="508"/>
      <c r="HA120" s="508"/>
      <c r="HB120" s="508"/>
      <c r="HC120" s="508"/>
      <c r="HD120" s="508"/>
      <c r="HE120" s="508"/>
      <c r="HF120" s="508"/>
      <c r="HG120" s="508"/>
      <c r="HH120" s="508"/>
      <c r="HI120" s="508"/>
      <c r="HJ120" s="508"/>
      <c r="HK120" s="508"/>
      <c r="HL120" s="508"/>
      <c r="HM120" s="508"/>
      <c r="HN120" s="508"/>
      <c r="HO120" s="508"/>
      <c r="HP120" s="508"/>
      <c r="HQ120" s="508"/>
      <c r="HR120" s="508"/>
      <c r="HS120" s="508"/>
      <c r="HT120" s="508"/>
      <c r="HU120" s="508"/>
      <c r="HV120" s="508"/>
      <c r="HW120" s="508"/>
      <c r="HX120" s="508"/>
      <c r="HY120" s="508"/>
      <c r="HZ120" s="508"/>
      <c r="IA120" s="508"/>
      <c r="IB120" s="508"/>
      <c r="IC120" s="508"/>
      <c r="ID120" s="508"/>
      <c r="IE120" s="508"/>
      <c r="IF120" s="508"/>
      <c r="IG120" s="508"/>
      <c r="IH120" s="508"/>
      <c r="II120" s="508"/>
      <c r="IJ120" s="508"/>
      <c r="IK120" s="508"/>
      <c r="IL120" s="508"/>
      <c r="IM120" s="508"/>
      <c r="IN120" s="508"/>
      <c r="IO120" s="508"/>
      <c r="IP120" s="508"/>
      <c r="IQ120" s="508"/>
      <c r="IR120" s="508"/>
      <c r="IS120" s="508"/>
      <c r="IT120" s="508"/>
      <c r="IU120" s="508"/>
      <c r="IV120" s="508"/>
    </row>
    <row r="121" spans="1:256" ht="27" customHeight="1">
      <c r="A121" s="530"/>
      <c r="B121" s="34"/>
      <c r="C121" s="34"/>
      <c r="D121" s="36" t="s">
        <v>789</v>
      </c>
      <c r="E121" s="34"/>
      <c r="F121" s="548">
        <f>7.8+6.2</f>
        <v>14</v>
      </c>
      <c r="G121" s="532"/>
      <c r="H121" s="532"/>
      <c r="I121" s="672"/>
      <c r="J121" s="685"/>
      <c r="U121" s="509"/>
      <c r="V121" s="509"/>
      <c r="W121" s="509"/>
      <c r="X121" s="509"/>
      <c r="Y121" s="509"/>
      <c r="Z121" s="509"/>
      <c r="AA121" s="509"/>
      <c r="AB121" s="509"/>
      <c r="AC121" s="509"/>
      <c r="AD121" s="509"/>
      <c r="AE121" s="509"/>
      <c r="AF121" s="509"/>
      <c r="AG121" s="509"/>
      <c r="AH121" s="509"/>
      <c r="AI121" s="509"/>
      <c r="AJ121" s="509"/>
      <c r="AK121" s="509"/>
      <c r="AL121" s="509"/>
      <c r="AM121" s="509"/>
      <c r="AN121" s="509"/>
      <c r="AO121" s="509"/>
      <c r="AP121" s="508"/>
      <c r="AQ121" s="508"/>
      <c r="AR121" s="508"/>
      <c r="AS121" s="508"/>
      <c r="AT121" s="508"/>
      <c r="AU121" s="508"/>
      <c r="AV121" s="508"/>
      <c r="AW121" s="508"/>
      <c r="AX121" s="508"/>
      <c r="AY121" s="508"/>
      <c r="AZ121" s="508"/>
      <c r="BA121" s="508"/>
      <c r="BB121" s="508"/>
      <c r="BC121" s="508"/>
      <c r="BD121" s="508"/>
      <c r="BE121" s="508"/>
      <c r="BF121" s="508"/>
      <c r="BG121" s="508"/>
      <c r="BH121" s="508"/>
      <c r="BI121" s="508"/>
      <c r="BJ121" s="508"/>
      <c r="BK121" s="508"/>
      <c r="BL121" s="508"/>
      <c r="BM121" s="508"/>
      <c r="BN121" s="508"/>
      <c r="BO121" s="508"/>
      <c r="BP121" s="508"/>
      <c r="BQ121" s="508"/>
      <c r="BR121" s="508"/>
      <c r="BS121" s="508"/>
      <c r="BT121" s="508"/>
      <c r="BU121" s="508"/>
      <c r="BV121" s="508"/>
      <c r="BW121" s="508"/>
      <c r="BX121" s="508"/>
      <c r="BY121" s="508"/>
      <c r="BZ121" s="508"/>
      <c r="CA121" s="508"/>
      <c r="CB121" s="508"/>
      <c r="CC121" s="508"/>
      <c r="CD121" s="508"/>
      <c r="CE121" s="508"/>
      <c r="CF121" s="508"/>
      <c r="CG121" s="508"/>
      <c r="CH121" s="508"/>
      <c r="CI121" s="508"/>
      <c r="CJ121" s="508"/>
      <c r="CK121" s="508"/>
      <c r="CL121" s="508"/>
      <c r="CM121" s="508"/>
      <c r="CN121" s="508"/>
      <c r="CO121" s="508"/>
      <c r="CP121" s="508"/>
      <c r="CQ121" s="508"/>
      <c r="CR121" s="508"/>
      <c r="CS121" s="508"/>
      <c r="CT121" s="508"/>
      <c r="CU121" s="508"/>
      <c r="CV121" s="508"/>
      <c r="CW121" s="508"/>
      <c r="CX121" s="508"/>
      <c r="CY121" s="508"/>
      <c r="CZ121" s="508"/>
      <c r="DA121" s="508"/>
      <c r="DB121" s="508"/>
      <c r="DC121" s="508"/>
      <c r="DD121" s="508"/>
      <c r="DE121" s="508"/>
      <c r="DF121" s="508"/>
      <c r="DG121" s="508"/>
      <c r="DH121" s="508"/>
      <c r="DI121" s="508"/>
      <c r="DJ121" s="508"/>
      <c r="DK121" s="508"/>
      <c r="DL121" s="508"/>
      <c r="DM121" s="508"/>
      <c r="DN121" s="508"/>
      <c r="DO121" s="508"/>
      <c r="DP121" s="508"/>
      <c r="DQ121" s="508"/>
      <c r="DR121" s="508"/>
      <c r="DS121" s="508"/>
      <c r="DT121" s="508"/>
      <c r="DU121" s="508"/>
      <c r="DV121" s="508"/>
      <c r="DW121" s="508"/>
      <c r="DX121" s="508"/>
      <c r="DY121" s="508"/>
      <c r="DZ121" s="508"/>
      <c r="EA121" s="508"/>
      <c r="EB121" s="508"/>
      <c r="EC121" s="508"/>
      <c r="ED121" s="508"/>
      <c r="EE121" s="508"/>
      <c r="EF121" s="508"/>
      <c r="EG121" s="508"/>
      <c r="EH121" s="508"/>
      <c r="EI121" s="508"/>
      <c r="EJ121" s="508"/>
      <c r="EK121" s="508"/>
      <c r="EL121" s="508"/>
      <c r="EM121" s="508"/>
      <c r="EN121" s="508"/>
      <c r="EO121" s="508"/>
      <c r="EP121" s="508"/>
      <c r="EQ121" s="508"/>
      <c r="ER121" s="508"/>
      <c r="ES121" s="508"/>
      <c r="ET121" s="508"/>
      <c r="EU121" s="508"/>
      <c r="EV121" s="508"/>
      <c r="EW121" s="508"/>
      <c r="EX121" s="508"/>
      <c r="EY121" s="508"/>
      <c r="EZ121" s="508"/>
      <c r="FA121" s="508"/>
      <c r="FB121" s="508"/>
      <c r="FC121" s="508"/>
      <c r="FD121" s="508"/>
      <c r="FE121" s="508"/>
      <c r="FF121" s="508"/>
      <c r="FG121" s="508"/>
      <c r="FH121" s="508"/>
      <c r="FI121" s="508"/>
      <c r="FJ121" s="508"/>
      <c r="FK121" s="508"/>
      <c r="FL121" s="508"/>
      <c r="FM121" s="508"/>
      <c r="FN121" s="508"/>
      <c r="FO121" s="508"/>
      <c r="FP121" s="508"/>
      <c r="FQ121" s="508"/>
      <c r="FR121" s="508"/>
      <c r="FS121" s="508"/>
      <c r="FT121" s="508"/>
      <c r="FU121" s="508"/>
      <c r="FV121" s="508"/>
      <c r="FW121" s="508"/>
      <c r="FX121" s="508"/>
      <c r="FY121" s="508"/>
      <c r="FZ121" s="508"/>
      <c r="GA121" s="508"/>
      <c r="GB121" s="508"/>
      <c r="GC121" s="508"/>
      <c r="GD121" s="508"/>
      <c r="GE121" s="508"/>
      <c r="GF121" s="508"/>
      <c r="GG121" s="508"/>
      <c r="GH121" s="508"/>
      <c r="GI121" s="508"/>
      <c r="GJ121" s="508"/>
      <c r="GK121" s="508"/>
      <c r="GL121" s="508"/>
      <c r="GM121" s="508"/>
      <c r="GN121" s="508"/>
      <c r="GO121" s="508"/>
      <c r="GP121" s="508"/>
      <c r="GQ121" s="508"/>
      <c r="GR121" s="508"/>
      <c r="GS121" s="508"/>
      <c r="GT121" s="508"/>
      <c r="GU121" s="508"/>
      <c r="GV121" s="508"/>
      <c r="GW121" s="508"/>
      <c r="GX121" s="508"/>
      <c r="GY121" s="508"/>
      <c r="GZ121" s="508"/>
      <c r="HA121" s="508"/>
      <c r="HB121" s="508"/>
      <c r="HC121" s="508"/>
      <c r="HD121" s="508"/>
      <c r="HE121" s="508"/>
      <c r="HF121" s="508"/>
      <c r="HG121" s="508"/>
      <c r="HH121" s="508"/>
      <c r="HI121" s="508"/>
      <c r="HJ121" s="508"/>
      <c r="HK121" s="508"/>
      <c r="HL121" s="508"/>
      <c r="HM121" s="508"/>
      <c r="HN121" s="508"/>
      <c r="HO121" s="508"/>
      <c r="HP121" s="508"/>
      <c r="HQ121" s="508"/>
      <c r="HR121" s="508"/>
      <c r="HS121" s="508"/>
      <c r="HT121" s="508"/>
      <c r="HU121" s="508"/>
      <c r="HV121" s="508"/>
      <c r="HW121" s="508"/>
      <c r="HX121" s="508"/>
      <c r="HY121" s="508"/>
      <c r="HZ121" s="508"/>
      <c r="IA121" s="508"/>
      <c r="IB121" s="508"/>
      <c r="IC121" s="508"/>
      <c r="ID121" s="508"/>
      <c r="IE121" s="508"/>
      <c r="IF121" s="508"/>
      <c r="IG121" s="508"/>
      <c r="IH121" s="508"/>
      <c r="II121" s="508"/>
      <c r="IJ121" s="508"/>
      <c r="IK121" s="508"/>
      <c r="IL121" s="508"/>
      <c r="IM121" s="508"/>
      <c r="IN121" s="508"/>
      <c r="IO121" s="508"/>
      <c r="IP121" s="508"/>
      <c r="IQ121" s="508"/>
      <c r="IR121" s="508"/>
      <c r="IS121" s="508"/>
      <c r="IT121" s="508"/>
      <c r="IU121" s="508"/>
      <c r="IV121" s="508"/>
    </row>
    <row r="122" spans="1:256" ht="67.5" customHeight="1">
      <c r="A122" s="530"/>
      <c r="B122" s="34"/>
      <c r="C122" s="34"/>
      <c r="D122" s="388" t="s">
        <v>195</v>
      </c>
      <c r="E122" s="34"/>
      <c r="F122" s="548"/>
      <c r="G122" s="532"/>
      <c r="H122" s="532"/>
      <c r="I122" s="672"/>
      <c r="J122" s="665"/>
      <c r="K122" s="665"/>
      <c r="L122" s="666"/>
      <c r="M122" s="666"/>
      <c r="N122" s="666"/>
      <c r="O122" s="667"/>
      <c r="P122" s="668"/>
      <c r="Q122" s="669"/>
      <c r="R122" s="670"/>
      <c r="S122" s="670"/>
      <c r="T122" s="671"/>
      <c r="U122" s="509"/>
      <c r="V122" s="509"/>
      <c r="W122" s="509"/>
      <c r="X122" s="509"/>
      <c r="Y122" s="509"/>
      <c r="Z122" s="509"/>
      <c r="AA122" s="509"/>
      <c r="AB122" s="509"/>
      <c r="AC122" s="509"/>
      <c r="AD122" s="509"/>
      <c r="AE122" s="509"/>
      <c r="AF122" s="509"/>
      <c r="AG122" s="509"/>
      <c r="AH122" s="509"/>
      <c r="AI122" s="509"/>
      <c r="AJ122" s="509"/>
      <c r="AK122" s="509"/>
      <c r="AL122" s="509"/>
      <c r="AM122" s="509"/>
      <c r="AN122" s="509"/>
      <c r="AO122" s="509"/>
      <c r="AP122" s="508"/>
      <c r="AQ122" s="508"/>
      <c r="AR122" s="508"/>
      <c r="AS122" s="508"/>
      <c r="AT122" s="508"/>
      <c r="AU122" s="508"/>
      <c r="AV122" s="508"/>
      <c r="AW122" s="508"/>
      <c r="AX122" s="508"/>
      <c r="AY122" s="508"/>
      <c r="AZ122" s="508"/>
      <c r="BA122" s="508"/>
      <c r="BB122" s="508"/>
      <c r="BC122" s="508"/>
      <c r="BD122" s="508"/>
      <c r="BE122" s="508"/>
      <c r="BF122" s="508"/>
      <c r="BG122" s="508"/>
      <c r="BH122" s="508"/>
      <c r="BI122" s="508"/>
      <c r="BJ122" s="508"/>
      <c r="BK122" s="508"/>
      <c r="BL122" s="508"/>
      <c r="BM122" s="508"/>
      <c r="BN122" s="508"/>
      <c r="BO122" s="508"/>
      <c r="BP122" s="508"/>
      <c r="BQ122" s="508"/>
      <c r="BR122" s="508"/>
      <c r="BS122" s="508"/>
      <c r="BT122" s="508"/>
      <c r="BU122" s="508"/>
      <c r="BV122" s="508"/>
      <c r="BW122" s="508"/>
      <c r="BX122" s="508"/>
      <c r="BY122" s="508"/>
      <c r="BZ122" s="508"/>
      <c r="CA122" s="508"/>
      <c r="CB122" s="508"/>
      <c r="CC122" s="508"/>
      <c r="CD122" s="508"/>
      <c r="CE122" s="508"/>
      <c r="CF122" s="508"/>
      <c r="CG122" s="508"/>
      <c r="CH122" s="508"/>
      <c r="CI122" s="508"/>
      <c r="CJ122" s="508"/>
      <c r="CK122" s="508"/>
      <c r="CL122" s="508"/>
      <c r="CM122" s="508"/>
      <c r="CN122" s="508"/>
      <c r="CO122" s="508"/>
      <c r="CP122" s="508"/>
      <c r="CQ122" s="508"/>
      <c r="CR122" s="508"/>
      <c r="CS122" s="508"/>
      <c r="CT122" s="508"/>
      <c r="CU122" s="508"/>
      <c r="CV122" s="508"/>
      <c r="CW122" s="508"/>
      <c r="CX122" s="508"/>
      <c r="CY122" s="508"/>
      <c r="CZ122" s="508"/>
      <c r="DA122" s="508"/>
      <c r="DB122" s="508"/>
      <c r="DC122" s="508"/>
      <c r="DD122" s="508"/>
      <c r="DE122" s="508"/>
      <c r="DF122" s="508"/>
      <c r="DG122" s="508"/>
      <c r="DH122" s="508"/>
      <c r="DI122" s="508"/>
      <c r="DJ122" s="508"/>
      <c r="DK122" s="508"/>
      <c r="DL122" s="508"/>
      <c r="DM122" s="508"/>
      <c r="DN122" s="508"/>
      <c r="DO122" s="508"/>
      <c r="DP122" s="508"/>
      <c r="DQ122" s="508"/>
      <c r="DR122" s="508"/>
      <c r="DS122" s="508"/>
      <c r="DT122" s="508"/>
      <c r="DU122" s="508"/>
      <c r="DV122" s="508"/>
      <c r="DW122" s="508"/>
      <c r="DX122" s="508"/>
      <c r="DY122" s="508"/>
      <c r="DZ122" s="508"/>
      <c r="EA122" s="508"/>
      <c r="EB122" s="508"/>
      <c r="EC122" s="508"/>
      <c r="ED122" s="508"/>
      <c r="EE122" s="508"/>
      <c r="EF122" s="508"/>
      <c r="EG122" s="508"/>
      <c r="EH122" s="508"/>
      <c r="EI122" s="508"/>
      <c r="EJ122" s="508"/>
      <c r="EK122" s="508"/>
      <c r="EL122" s="508"/>
      <c r="EM122" s="508"/>
      <c r="EN122" s="508"/>
      <c r="EO122" s="508"/>
      <c r="EP122" s="508"/>
      <c r="EQ122" s="508"/>
      <c r="ER122" s="508"/>
      <c r="ES122" s="508"/>
      <c r="ET122" s="508"/>
      <c r="EU122" s="508"/>
      <c r="EV122" s="508"/>
      <c r="EW122" s="508"/>
      <c r="EX122" s="508"/>
      <c r="EY122" s="508"/>
      <c r="EZ122" s="508"/>
      <c r="FA122" s="508"/>
      <c r="FB122" s="508"/>
      <c r="FC122" s="508"/>
      <c r="FD122" s="508"/>
      <c r="FE122" s="508"/>
      <c r="FF122" s="508"/>
      <c r="FG122" s="508"/>
      <c r="FH122" s="508"/>
      <c r="FI122" s="508"/>
      <c r="FJ122" s="508"/>
      <c r="FK122" s="508"/>
      <c r="FL122" s="508"/>
      <c r="FM122" s="508"/>
      <c r="FN122" s="508"/>
      <c r="FO122" s="508"/>
      <c r="FP122" s="508"/>
      <c r="FQ122" s="508"/>
      <c r="FR122" s="508"/>
      <c r="FS122" s="508"/>
      <c r="FT122" s="508"/>
      <c r="FU122" s="508"/>
      <c r="FV122" s="508"/>
      <c r="FW122" s="508"/>
      <c r="FX122" s="508"/>
      <c r="FY122" s="508"/>
      <c r="FZ122" s="508"/>
      <c r="GA122" s="508"/>
      <c r="GB122" s="508"/>
      <c r="GC122" s="508"/>
      <c r="GD122" s="508"/>
      <c r="GE122" s="508"/>
      <c r="GF122" s="508"/>
      <c r="GG122" s="508"/>
      <c r="GH122" s="508"/>
      <c r="GI122" s="508"/>
      <c r="GJ122" s="508"/>
      <c r="GK122" s="508"/>
      <c r="GL122" s="508"/>
      <c r="GM122" s="508"/>
      <c r="GN122" s="508"/>
      <c r="GO122" s="508"/>
      <c r="GP122" s="508"/>
      <c r="GQ122" s="508"/>
      <c r="GR122" s="508"/>
      <c r="GS122" s="508"/>
      <c r="GT122" s="508"/>
      <c r="GU122" s="508"/>
      <c r="GV122" s="508"/>
      <c r="GW122" s="508"/>
      <c r="GX122" s="508"/>
      <c r="GY122" s="508"/>
      <c r="GZ122" s="508"/>
      <c r="HA122" s="508"/>
      <c r="HB122" s="508"/>
      <c r="HC122" s="508"/>
      <c r="HD122" s="508"/>
      <c r="HE122" s="508"/>
      <c r="HF122" s="508"/>
      <c r="HG122" s="508"/>
      <c r="HH122" s="508"/>
      <c r="HI122" s="508"/>
      <c r="HJ122" s="508"/>
      <c r="HK122" s="508"/>
      <c r="HL122" s="508"/>
      <c r="HM122" s="508"/>
      <c r="HN122" s="508"/>
      <c r="HO122" s="508"/>
      <c r="HP122" s="508"/>
      <c r="HQ122" s="508"/>
      <c r="HR122" s="508"/>
      <c r="HS122" s="508"/>
      <c r="HT122" s="508"/>
      <c r="HU122" s="508"/>
      <c r="HV122" s="508"/>
      <c r="HW122" s="508"/>
      <c r="HX122" s="508"/>
      <c r="HY122" s="508"/>
      <c r="HZ122" s="508"/>
      <c r="IA122" s="508"/>
      <c r="IB122" s="508"/>
      <c r="IC122" s="508"/>
      <c r="ID122" s="508"/>
      <c r="IE122" s="508"/>
      <c r="IF122" s="508"/>
      <c r="IG122" s="508"/>
      <c r="IH122" s="508"/>
      <c r="II122" s="508"/>
      <c r="IJ122" s="508"/>
      <c r="IK122" s="508"/>
      <c r="IL122" s="508"/>
      <c r="IM122" s="508"/>
      <c r="IN122" s="508"/>
      <c r="IO122" s="508"/>
      <c r="IP122" s="508"/>
      <c r="IQ122" s="508"/>
      <c r="IR122" s="508"/>
      <c r="IS122" s="508"/>
      <c r="IT122" s="508"/>
      <c r="IU122" s="508"/>
      <c r="IV122" s="508"/>
    </row>
    <row r="123" spans="1:256" ht="13.5" customHeight="1">
      <c r="A123" s="777"/>
      <c r="B123" s="778"/>
      <c r="C123" s="779" t="s">
        <v>128</v>
      </c>
      <c r="D123" s="779" t="s">
        <v>129</v>
      </c>
      <c r="E123" s="779"/>
      <c r="F123" s="780"/>
      <c r="G123" s="781"/>
      <c r="H123" s="782">
        <f>SUM(H124:H125,H130:H132,H137)</f>
        <v>0</v>
      </c>
      <c r="I123" s="783"/>
      <c r="J123" s="784"/>
      <c r="K123" s="784"/>
      <c r="L123" s="784"/>
      <c r="M123" s="784"/>
      <c r="N123" s="784"/>
      <c r="O123" s="784"/>
      <c r="P123" s="784"/>
      <c r="Q123" s="784"/>
      <c r="R123" s="784"/>
      <c r="S123" s="784"/>
      <c r="T123" s="784"/>
      <c r="U123" s="784"/>
      <c r="V123" s="784"/>
      <c r="W123" s="784"/>
      <c r="X123" s="784"/>
      <c r="Y123" s="784"/>
      <c r="Z123" s="784"/>
      <c r="AA123" s="784"/>
      <c r="AB123" s="784"/>
      <c r="AC123" s="784"/>
      <c r="AD123" s="784"/>
      <c r="AE123" s="784"/>
      <c r="AF123" s="784"/>
      <c r="AG123" s="784"/>
      <c r="AH123" s="784"/>
      <c r="AI123" s="784"/>
      <c r="AJ123" s="784"/>
      <c r="AK123" s="784"/>
      <c r="AL123" s="784"/>
      <c r="AM123" s="784"/>
      <c r="AN123" s="784"/>
      <c r="AO123" s="784"/>
      <c r="AP123" s="785"/>
      <c r="AQ123" s="785"/>
      <c r="AR123" s="785"/>
      <c r="AS123" s="785"/>
      <c r="AT123" s="785"/>
      <c r="AU123" s="785"/>
      <c r="AV123" s="785"/>
      <c r="AW123" s="785"/>
      <c r="AX123" s="785"/>
      <c r="AY123" s="785"/>
      <c r="AZ123" s="785"/>
      <c r="BA123" s="785"/>
      <c r="BB123" s="785"/>
      <c r="BC123" s="785"/>
      <c r="BD123" s="785"/>
      <c r="BE123" s="785"/>
      <c r="BF123" s="785"/>
      <c r="BG123" s="785"/>
      <c r="BH123" s="785"/>
      <c r="BI123" s="785"/>
      <c r="BJ123" s="785"/>
      <c r="BK123" s="785"/>
      <c r="BL123" s="785"/>
      <c r="BM123" s="785"/>
      <c r="BN123" s="785"/>
      <c r="BO123" s="785"/>
      <c r="BP123" s="785"/>
      <c r="BQ123" s="785"/>
      <c r="BR123" s="785"/>
      <c r="BS123" s="785"/>
      <c r="BT123" s="785"/>
      <c r="BU123" s="785"/>
      <c r="BV123" s="785"/>
      <c r="BW123" s="785"/>
      <c r="BX123" s="785"/>
      <c r="BY123" s="785"/>
      <c r="BZ123" s="785"/>
      <c r="CA123" s="785"/>
      <c r="CB123" s="785"/>
      <c r="CC123" s="785"/>
      <c r="CD123" s="785"/>
      <c r="CE123" s="785"/>
      <c r="CF123" s="785"/>
      <c r="CG123" s="785"/>
      <c r="CH123" s="785"/>
      <c r="CI123" s="785"/>
      <c r="CJ123" s="785"/>
      <c r="CK123" s="785"/>
      <c r="CL123" s="785"/>
      <c r="CM123" s="785"/>
      <c r="CN123" s="785"/>
      <c r="CO123" s="785"/>
      <c r="CP123" s="785"/>
      <c r="CQ123" s="785"/>
      <c r="CR123" s="785"/>
      <c r="CS123" s="785"/>
      <c r="CT123" s="785"/>
      <c r="CU123" s="785"/>
      <c r="CV123" s="785"/>
      <c r="CW123" s="785"/>
      <c r="CX123" s="785"/>
      <c r="CY123" s="785"/>
      <c r="CZ123" s="785"/>
      <c r="DA123" s="785"/>
      <c r="DB123" s="785"/>
      <c r="DC123" s="785"/>
      <c r="DD123" s="785"/>
      <c r="DE123" s="785"/>
      <c r="DF123" s="785"/>
      <c r="DG123" s="785"/>
      <c r="DH123" s="785"/>
      <c r="DI123" s="785"/>
      <c r="DJ123" s="785"/>
      <c r="DK123" s="785"/>
      <c r="DL123" s="785"/>
      <c r="DM123" s="785"/>
      <c r="DN123" s="785"/>
      <c r="DO123" s="785"/>
      <c r="DP123" s="785"/>
      <c r="DQ123" s="785"/>
      <c r="DR123" s="785"/>
      <c r="DS123" s="785"/>
      <c r="DT123" s="785"/>
      <c r="DU123" s="785"/>
      <c r="DV123" s="785"/>
      <c r="DW123" s="785"/>
      <c r="DX123" s="785"/>
      <c r="DY123" s="785"/>
      <c r="DZ123" s="785"/>
      <c r="EA123" s="785"/>
      <c r="EB123" s="785"/>
      <c r="EC123" s="785"/>
      <c r="ED123" s="785"/>
      <c r="EE123" s="785"/>
      <c r="EF123" s="785"/>
      <c r="EG123" s="785"/>
      <c r="EH123" s="785"/>
      <c r="EI123" s="785"/>
      <c r="EJ123" s="785"/>
      <c r="EK123" s="785"/>
      <c r="EL123" s="785"/>
      <c r="EM123" s="785"/>
      <c r="EN123" s="785"/>
      <c r="EO123" s="785"/>
      <c r="EP123" s="785"/>
      <c r="EQ123" s="785"/>
      <c r="ER123" s="785"/>
      <c r="ES123" s="785"/>
      <c r="ET123" s="785"/>
      <c r="EU123" s="785"/>
      <c r="EV123" s="785"/>
      <c r="EW123" s="785"/>
      <c r="EX123" s="785"/>
      <c r="EY123" s="785"/>
      <c r="EZ123" s="785"/>
      <c r="FA123" s="785"/>
      <c r="FB123" s="785"/>
      <c r="FC123" s="785"/>
      <c r="FD123" s="785"/>
      <c r="FE123" s="785"/>
      <c r="FF123" s="785"/>
      <c r="FG123" s="785"/>
      <c r="FH123" s="785"/>
      <c r="FI123" s="785"/>
      <c r="FJ123" s="785"/>
      <c r="FK123" s="785"/>
      <c r="FL123" s="785"/>
      <c r="FM123" s="785"/>
      <c r="FN123" s="785"/>
      <c r="FO123" s="785"/>
      <c r="FP123" s="785"/>
      <c r="FQ123" s="785"/>
      <c r="FR123" s="785"/>
      <c r="FS123" s="785"/>
      <c r="FT123" s="785"/>
      <c r="FU123" s="785"/>
      <c r="FV123" s="785"/>
      <c r="FW123" s="785"/>
      <c r="FX123" s="785"/>
      <c r="FY123" s="785"/>
      <c r="FZ123" s="785"/>
      <c r="GA123" s="785"/>
      <c r="GB123" s="785"/>
      <c r="GC123" s="785"/>
      <c r="GD123" s="785"/>
      <c r="GE123" s="785"/>
      <c r="GF123" s="785"/>
      <c r="GG123" s="785"/>
      <c r="GH123" s="785"/>
      <c r="GI123" s="785"/>
      <c r="GJ123" s="785"/>
      <c r="GK123" s="785"/>
      <c r="GL123" s="785"/>
      <c r="GM123" s="785"/>
      <c r="GN123" s="785"/>
      <c r="GO123" s="785"/>
      <c r="GP123" s="785"/>
      <c r="GQ123" s="785"/>
      <c r="GR123" s="785"/>
      <c r="GS123" s="785"/>
      <c r="GT123" s="785"/>
      <c r="GU123" s="785"/>
      <c r="GV123" s="785"/>
      <c r="GW123" s="785"/>
      <c r="GX123" s="785"/>
      <c r="GY123" s="785"/>
      <c r="GZ123" s="785"/>
      <c r="HA123" s="785"/>
      <c r="HB123" s="785"/>
      <c r="HC123" s="785"/>
      <c r="HD123" s="785"/>
      <c r="HE123" s="785"/>
      <c r="HF123" s="785"/>
      <c r="HG123" s="785"/>
      <c r="HH123" s="785"/>
      <c r="HI123" s="785"/>
      <c r="HJ123" s="785"/>
      <c r="HK123" s="785"/>
      <c r="HL123" s="785"/>
      <c r="HM123" s="785"/>
      <c r="HN123" s="785"/>
      <c r="HO123" s="785"/>
      <c r="HP123" s="785"/>
      <c r="HQ123" s="785"/>
      <c r="HR123" s="785"/>
      <c r="HS123" s="785"/>
      <c r="HT123" s="785"/>
      <c r="HU123" s="785"/>
      <c r="HV123" s="785"/>
      <c r="HW123" s="785"/>
      <c r="HX123" s="785"/>
      <c r="HY123" s="785"/>
      <c r="HZ123" s="785"/>
      <c r="IA123" s="785"/>
      <c r="IB123" s="785"/>
      <c r="IC123" s="785"/>
      <c r="ID123" s="785"/>
      <c r="IE123" s="785"/>
      <c r="IF123" s="785"/>
      <c r="IG123" s="785"/>
      <c r="IH123" s="785"/>
      <c r="II123" s="785"/>
      <c r="IJ123" s="785"/>
      <c r="IK123" s="785"/>
      <c r="IL123" s="785"/>
      <c r="IM123" s="785"/>
      <c r="IN123" s="785"/>
      <c r="IO123" s="768"/>
      <c r="IP123" s="768"/>
      <c r="IQ123" s="768"/>
      <c r="IR123" s="768"/>
      <c r="IS123" s="768"/>
      <c r="IT123" s="768"/>
      <c r="IU123" s="768"/>
      <c r="IV123" s="768"/>
    </row>
    <row r="124" spans="1:256" s="508" customFormat="1" ht="13.5" customHeight="1">
      <c r="A124" s="434">
        <v>42</v>
      </c>
      <c r="B124" s="424" t="s">
        <v>133</v>
      </c>
      <c r="C124" s="427" t="s">
        <v>136</v>
      </c>
      <c r="D124" s="435" t="s">
        <v>697</v>
      </c>
      <c r="E124" s="435" t="s">
        <v>125</v>
      </c>
      <c r="F124" s="436">
        <f>F125</f>
        <v>2.81</v>
      </c>
      <c r="G124" s="437">
        <f>SUM(H126:H129)/F124</f>
        <v>0</v>
      </c>
      <c r="H124" s="437">
        <f>F124*G124</f>
        <v>0</v>
      </c>
      <c r="I124" s="533" t="s">
        <v>739</v>
      </c>
      <c r="J124" s="786"/>
      <c r="K124" s="509"/>
      <c r="L124" s="509"/>
      <c r="M124" s="509"/>
      <c r="N124" s="509"/>
      <c r="O124" s="509"/>
      <c r="P124" s="509"/>
      <c r="Q124" s="509"/>
      <c r="R124" s="509"/>
      <c r="S124" s="509"/>
      <c r="T124" s="509"/>
      <c r="U124" s="509"/>
      <c r="V124" s="509"/>
      <c r="W124" s="509"/>
      <c r="X124" s="509"/>
      <c r="Y124" s="509"/>
      <c r="Z124" s="509"/>
      <c r="AA124" s="509"/>
      <c r="AB124" s="509"/>
      <c r="AC124" s="509"/>
      <c r="AD124" s="509"/>
      <c r="AE124" s="509"/>
      <c r="AF124" s="509"/>
      <c r="AG124" s="509"/>
      <c r="AH124" s="509"/>
      <c r="AI124" s="509"/>
      <c r="AJ124" s="509"/>
      <c r="AK124" s="509"/>
      <c r="AL124" s="509"/>
      <c r="AM124" s="509"/>
      <c r="AN124" s="509"/>
      <c r="AO124" s="509"/>
    </row>
    <row r="125" spans="1:256" s="508" customFormat="1" ht="13.5" customHeight="1">
      <c r="A125" s="530"/>
      <c r="B125" s="34"/>
      <c r="C125" s="34"/>
      <c r="D125" s="36" t="s">
        <v>725</v>
      </c>
      <c r="E125" s="787"/>
      <c r="F125" s="548">
        <f>2.61+0.2</f>
        <v>2.81</v>
      </c>
      <c r="G125" s="788"/>
      <c r="H125" s="788"/>
      <c r="I125" s="672"/>
      <c r="J125" s="509"/>
      <c r="K125" s="509"/>
      <c r="L125" s="789"/>
      <c r="M125" s="509"/>
      <c r="N125" s="509"/>
      <c r="O125" s="509"/>
      <c r="P125" s="509"/>
      <c r="Q125" s="509"/>
      <c r="R125" s="509"/>
      <c r="S125" s="509"/>
      <c r="T125" s="509"/>
      <c r="U125" s="509"/>
      <c r="V125" s="509"/>
      <c r="W125" s="509"/>
      <c r="X125" s="509"/>
      <c r="Y125" s="509"/>
      <c r="Z125" s="509"/>
      <c r="AA125" s="509"/>
      <c r="AB125" s="509"/>
      <c r="AC125" s="509"/>
      <c r="AD125" s="509"/>
      <c r="AE125" s="509"/>
      <c r="AF125" s="509"/>
      <c r="AG125" s="509"/>
      <c r="AH125" s="509"/>
      <c r="AI125" s="509"/>
      <c r="AJ125" s="509"/>
      <c r="AK125" s="509"/>
      <c r="AL125" s="509"/>
      <c r="AM125" s="509"/>
      <c r="AN125" s="509"/>
      <c r="AO125" s="509"/>
    </row>
    <row r="126" spans="1:256" s="508" customFormat="1" ht="27" customHeight="1">
      <c r="A126" s="443" t="s">
        <v>306</v>
      </c>
      <c r="B126" s="34"/>
      <c r="C126" s="445">
        <v>997013111</v>
      </c>
      <c r="D126" s="358" t="s">
        <v>187</v>
      </c>
      <c r="E126" s="446" t="s">
        <v>125</v>
      </c>
      <c r="F126" s="447">
        <f>F124</f>
        <v>2.81</v>
      </c>
      <c r="G126" s="81"/>
      <c r="H126" s="790">
        <f>F126*G126</f>
        <v>0</v>
      </c>
      <c r="I126" s="449" t="s">
        <v>738</v>
      </c>
      <c r="J126" s="450"/>
      <c r="K126" s="451"/>
      <c r="L126" s="451"/>
      <c r="M126" s="451"/>
      <c r="N126" s="451"/>
      <c r="O126" s="451"/>
      <c r="P126" s="451"/>
      <c r="Q126" s="452"/>
      <c r="R126" s="452"/>
      <c r="S126" s="453"/>
      <c r="T126" s="791"/>
      <c r="U126" s="509"/>
      <c r="V126" s="509"/>
      <c r="W126" s="509"/>
      <c r="X126" s="509"/>
      <c r="Y126" s="509"/>
      <c r="Z126" s="509"/>
      <c r="AA126" s="509"/>
      <c r="AB126" s="509"/>
      <c r="AC126" s="509"/>
      <c r="AD126" s="509"/>
      <c r="AE126" s="509"/>
      <c r="AF126" s="509"/>
      <c r="AG126" s="509"/>
      <c r="AH126" s="509"/>
      <c r="AI126" s="509"/>
      <c r="AJ126" s="509"/>
      <c r="AK126" s="509"/>
      <c r="AL126" s="509"/>
      <c r="AM126" s="509"/>
      <c r="AN126" s="509"/>
      <c r="AO126" s="509"/>
    </row>
    <row r="127" spans="1:256" s="508" customFormat="1" ht="13.5" customHeight="1">
      <c r="A127" s="443" t="s">
        <v>307</v>
      </c>
      <c r="B127" s="444"/>
      <c r="C127" s="445">
        <v>997006512</v>
      </c>
      <c r="D127" s="358" t="s">
        <v>188</v>
      </c>
      <c r="E127" s="446" t="s">
        <v>125</v>
      </c>
      <c r="F127" s="447">
        <f>F124</f>
        <v>2.81</v>
      </c>
      <c r="G127" s="81"/>
      <c r="H127" s="790">
        <f>F127*G127</f>
        <v>0</v>
      </c>
      <c r="I127" s="449" t="s">
        <v>738</v>
      </c>
      <c r="J127" s="792"/>
      <c r="K127" s="451"/>
      <c r="L127" s="451"/>
      <c r="M127" s="451"/>
      <c r="N127" s="451"/>
      <c r="O127" s="451"/>
      <c r="P127" s="451"/>
      <c r="Q127" s="452"/>
      <c r="R127" s="452"/>
      <c r="S127" s="453"/>
      <c r="T127" s="452"/>
      <c r="U127" s="509"/>
      <c r="V127" s="509"/>
      <c r="W127" s="509"/>
      <c r="X127" s="509"/>
      <c r="Y127" s="509"/>
      <c r="Z127" s="509"/>
      <c r="AA127" s="509"/>
      <c r="AB127" s="509"/>
      <c r="AC127" s="509"/>
      <c r="AD127" s="509"/>
      <c r="AE127" s="509"/>
      <c r="AF127" s="509"/>
      <c r="AG127" s="509"/>
      <c r="AH127" s="509"/>
      <c r="AI127" s="509"/>
      <c r="AJ127" s="509"/>
      <c r="AK127" s="509"/>
      <c r="AL127" s="509"/>
      <c r="AM127" s="509"/>
      <c r="AN127" s="509"/>
      <c r="AO127" s="509"/>
    </row>
    <row r="128" spans="1:256" s="508" customFormat="1" ht="27" customHeight="1">
      <c r="A128" s="443" t="s">
        <v>308</v>
      </c>
      <c r="B128" s="444"/>
      <c r="C128" s="445">
        <v>997006519</v>
      </c>
      <c r="D128" s="358" t="s">
        <v>189</v>
      </c>
      <c r="E128" s="446" t="s">
        <v>125</v>
      </c>
      <c r="F128" s="447">
        <f>F124*5</f>
        <v>14.05</v>
      </c>
      <c r="G128" s="81"/>
      <c r="H128" s="790">
        <f>F128*G128</f>
        <v>0</v>
      </c>
      <c r="I128" s="449" t="s">
        <v>738</v>
      </c>
      <c r="J128" s="450"/>
      <c r="K128" s="451"/>
      <c r="L128" s="451"/>
      <c r="M128" s="451"/>
      <c r="N128" s="451"/>
      <c r="O128" s="451"/>
      <c r="P128" s="451"/>
      <c r="Q128" s="452"/>
      <c r="R128" s="452"/>
      <c r="S128" s="453"/>
      <c r="T128" s="452"/>
      <c r="U128" s="509"/>
      <c r="V128" s="509"/>
      <c r="W128" s="509"/>
      <c r="X128" s="509"/>
      <c r="Y128" s="509"/>
      <c r="Z128" s="509"/>
      <c r="AA128" s="509"/>
      <c r="AB128" s="509"/>
      <c r="AC128" s="509"/>
      <c r="AD128" s="509"/>
      <c r="AE128" s="509"/>
      <c r="AF128" s="509"/>
      <c r="AG128" s="509"/>
      <c r="AH128" s="509"/>
      <c r="AI128" s="509"/>
      <c r="AJ128" s="509"/>
      <c r="AK128" s="509"/>
      <c r="AL128" s="509"/>
      <c r="AM128" s="509"/>
      <c r="AN128" s="509"/>
      <c r="AO128" s="509"/>
    </row>
    <row r="129" spans="1:41" s="508" customFormat="1" ht="27" customHeight="1">
      <c r="A129" s="443" t="s">
        <v>309</v>
      </c>
      <c r="B129" s="444"/>
      <c r="C129" s="445">
        <v>997013602</v>
      </c>
      <c r="D129" s="358" t="s">
        <v>190</v>
      </c>
      <c r="E129" s="446" t="s">
        <v>125</v>
      </c>
      <c r="F129" s="447">
        <f>F125</f>
        <v>2.81</v>
      </c>
      <c r="G129" s="81"/>
      <c r="H129" s="790">
        <f>F129*G129</f>
        <v>0</v>
      </c>
      <c r="I129" s="449" t="s">
        <v>738</v>
      </c>
      <c r="J129" s="450"/>
      <c r="K129" s="451"/>
      <c r="L129" s="451"/>
      <c r="M129" s="451"/>
      <c r="N129" s="451"/>
      <c r="O129" s="451"/>
      <c r="P129" s="451"/>
      <c r="Q129" s="452"/>
      <c r="R129" s="452"/>
      <c r="S129" s="453"/>
      <c r="T129" s="452"/>
      <c r="U129" s="509"/>
      <c r="V129" s="509"/>
      <c r="W129" s="509"/>
      <c r="X129" s="509"/>
      <c r="Y129" s="509"/>
      <c r="Z129" s="509"/>
      <c r="AA129" s="509"/>
      <c r="AB129" s="509"/>
      <c r="AC129" s="509"/>
      <c r="AD129" s="509"/>
      <c r="AE129" s="509"/>
      <c r="AF129" s="509"/>
      <c r="AG129" s="509"/>
      <c r="AH129" s="509"/>
      <c r="AI129" s="509"/>
      <c r="AJ129" s="509"/>
      <c r="AK129" s="509"/>
      <c r="AL129" s="509"/>
      <c r="AM129" s="509"/>
      <c r="AN129" s="509"/>
      <c r="AO129" s="509"/>
    </row>
    <row r="130" spans="1:41" s="508" customFormat="1" ht="67.5" customHeight="1">
      <c r="A130" s="454"/>
      <c r="B130" s="444"/>
      <c r="C130" s="455"/>
      <c r="D130" s="388" t="s">
        <v>195</v>
      </c>
      <c r="E130" s="456"/>
      <c r="F130" s="447"/>
      <c r="G130" s="457"/>
      <c r="H130" s="437"/>
      <c r="I130" s="458"/>
      <c r="J130" s="692"/>
      <c r="K130" s="509"/>
      <c r="L130" s="693"/>
      <c r="M130" s="693"/>
      <c r="N130" s="693"/>
      <c r="O130" s="509"/>
      <c r="P130" s="509"/>
      <c r="Q130" s="509"/>
      <c r="R130" s="509"/>
      <c r="S130" s="509"/>
      <c r="T130" s="509"/>
      <c r="U130" s="509"/>
      <c r="V130" s="509"/>
      <c r="W130" s="509"/>
      <c r="X130" s="509"/>
      <c r="Y130" s="509"/>
      <c r="Z130" s="509"/>
      <c r="AA130" s="509"/>
      <c r="AB130" s="509"/>
      <c r="AC130" s="509"/>
      <c r="AD130" s="509"/>
      <c r="AE130" s="509"/>
      <c r="AF130" s="509"/>
      <c r="AG130" s="509"/>
      <c r="AH130" s="509"/>
      <c r="AI130" s="509"/>
      <c r="AJ130" s="509"/>
      <c r="AK130" s="509"/>
      <c r="AL130" s="509"/>
      <c r="AM130" s="509"/>
      <c r="AN130" s="509"/>
      <c r="AO130" s="509"/>
    </row>
    <row r="131" spans="1:41" s="508" customFormat="1" ht="27" customHeight="1">
      <c r="A131" s="793">
        <v>43</v>
      </c>
      <c r="B131" s="424" t="s">
        <v>133</v>
      </c>
      <c r="C131" s="427" t="s">
        <v>136</v>
      </c>
      <c r="D131" s="435" t="s">
        <v>633</v>
      </c>
      <c r="E131" s="435" t="s">
        <v>125</v>
      </c>
      <c r="F131" s="436">
        <f>SUM(F132)</f>
        <v>0.20599999999999999</v>
      </c>
      <c r="G131" s="437">
        <f>SUM(H133:H136)/F131</f>
        <v>0</v>
      </c>
      <c r="H131" s="437">
        <f>F131*G131</f>
        <v>0</v>
      </c>
      <c r="I131" s="533" t="s">
        <v>739</v>
      </c>
      <c r="J131" s="786"/>
      <c r="K131" s="509"/>
      <c r="L131" s="509"/>
      <c r="M131" s="509"/>
      <c r="N131" s="509"/>
      <c r="O131" s="509"/>
      <c r="P131" s="509"/>
      <c r="Q131" s="509"/>
      <c r="R131" s="509"/>
      <c r="S131" s="509"/>
      <c r="T131" s="509"/>
      <c r="U131" s="509"/>
      <c r="V131" s="509"/>
      <c r="W131" s="509"/>
      <c r="X131" s="509"/>
      <c r="Y131" s="509"/>
      <c r="Z131" s="509"/>
      <c r="AA131" s="509"/>
      <c r="AB131" s="509"/>
      <c r="AC131" s="509"/>
      <c r="AD131" s="509"/>
      <c r="AE131" s="509"/>
      <c r="AF131" s="509"/>
      <c r="AG131" s="509"/>
      <c r="AH131" s="509"/>
      <c r="AI131" s="509"/>
      <c r="AJ131" s="509"/>
      <c r="AK131" s="509"/>
      <c r="AL131" s="509"/>
      <c r="AM131" s="509"/>
      <c r="AN131" s="509"/>
      <c r="AO131" s="509"/>
    </row>
    <row r="132" spans="1:41" s="508" customFormat="1" ht="13.5" customHeight="1">
      <c r="A132" s="794"/>
      <c r="B132" s="795"/>
      <c r="C132" s="795"/>
      <c r="D132" s="796" t="s">
        <v>565</v>
      </c>
      <c r="E132" s="797"/>
      <c r="F132" s="548">
        <f>0.206</f>
        <v>0.20599999999999999</v>
      </c>
      <c r="G132" s="788"/>
      <c r="H132" s="788"/>
      <c r="I132" s="672"/>
      <c r="J132" s="798"/>
      <c r="K132" s="509"/>
      <c r="L132" s="789"/>
      <c r="M132" s="509"/>
      <c r="N132" s="509"/>
      <c r="O132" s="509"/>
      <c r="P132" s="509"/>
      <c r="Q132" s="509"/>
      <c r="R132" s="509"/>
      <c r="S132" s="509"/>
      <c r="T132" s="509"/>
      <c r="U132" s="509"/>
      <c r="V132" s="509"/>
      <c r="W132" s="509"/>
      <c r="X132" s="509"/>
      <c r="Y132" s="509"/>
      <c r="Z132" s="509"/>
      <c r="AA132" s="509"/>
      <c r="AB132" s="509"/>
      <c r="AC132" s="509"/>
      <c r="AD132" s="509"/>
      <c r="AE132" s="509"/>
      <c r="AF132" s="509"/>
      <c r="AG132" s="509"/>
      <c r="AH132" s="509"/>
      <c r="AI132" s="509"/>
      <c r="AJ132" s="509"/>
      <c r="AK132" s="509"/>
      <c r="AL132" s="509"/>
      <c r="AM132" s="509"/>
      <c r="AN132" s="509"/>
      <c r="AO132" s="509"/>
    </row>
    <row r="133" spans="1:41" s="508" customFormat="1" ht="27" customHeight="1">
      <c r="A133" s="799" t="s">
        <v>721</v>
      </c>
      <c r="B133" s="795"/>
      <c r="C133" s="800">
        <v>997013111</v>
      </c>
      <c r="D133" s="408" t="s">
        <v>187</v>
      </c>
      <c r="E133" s="801" t="s">
        <v>125</v>
      </c>
      <c r="F133" s="802">
        <f>F131</f>
        <v>0.20599999999999999</v>
      </c>
      <c r="G133" s="81"/>
      <c r="H133" s="790">
        <f>F133*G133</f>
        <v>0</v>
      </c>
      <c r="I133" s="449" t="s">
        <v>738</v>
      </c>
      <c r="J133" s="450"/>
      <c r="K133" s="451"/>
      <c r="L133" s="451"/>
      <c r="M133" s="451"/>
      <c r="N133" s="451"/>
      <c r="O133" s="451"/>
      <c r="P133" s="451"/>
      <c r="Q133" s="452"/>
      <c r="R133" s="452"/>
      <c r="S133" s="453"/>
      <c r="T133" s="791"/>
      <c r="U133" s="509"/>
      <c r="V133" s="509"/>
      <c r="W133" s="509"/>
      <c r="X133" s="509"/>
      <c r="Y133" s="509"/>
      <c r="Z133" s="509"/>
      <c r="AA133" s="509"/>
      <c r="AB133" s="509"/>
      <c r="AC133" s="509"/>
      <c r="AD133" s="509"/>
      <c r="AE133" s="509"/>
      <c r="AF133" s="509"/>
      <c r="AG133" s="509"/>
      <c r="AH133" s="509"/>
      <c r="AI133" s="509"/>
      <c r="AJ133" s="509"/>
      <c r="AK133" s="509"/>
      <c r="AL133" s="509"/>
      <c r="AM133" s="509"/>
      <c r="AN133" s="509"/>
      <c r="AO133" s="509"/>
    </row>
    <row r="134" spans="1:41" s="508" customFormat="1" ht="13.5" customHeight="1">
      <c r="A134" s="799" t="s">
        <v>722</v>
      </c>
      <c r="B134" s="803"/>
      <c r="C134" s="800">
        <v>997006512</v>
      </c>
      <c r="D134" s="408" t="s">
        <v>188</v>
      </c>
      <c r="E134" s="801" t="s">
        <v>125</v>
      </c>
      <c r="F134" s="802">
        <f>F131</f>
        <v>0.20599999999999999</v>
      </c>
      <c r="G134" s="81"/>
      <c r="H134" s="790">
        <f>F134*G134</f>
        <v>0</v>
      </c>
      <c r="I134" s="449" t="s">
        <v>738</v>
      </c>
      <c r="J134" s="450"/>
      <c r="K134" s="451"/>
      <c r="L134" s="451"/>
      <c r="M134" s="451"/>
      <c r="N134" s="451"/>
      <c r="O134" s="451"/>
      <c r="P134" s="451"/>
      <c r="Q134" s="452"/>
      <c r="R134" s="452"/>
      <c r="S134" s="453"/>
      <c r="T134" s="452"/>
      <c r="U134" s="509"/>
      <c r="V134" s="509"/>
      <c r="W134" s="509"/>
      <c r="X134" s="509"/>
      <c r="Y134" s="509"/>
      <c r="Z134" s="509"/>
      <c r="AA134" s="509"/>
      <c r="AB134" s="509"/>
      <c r="AC134" s="509"/>
      <c r="AD134" s="509"/>
      <c r="AE134" s="509"/>
      <c r="AF134" s="509"/>
      <c r="AG134" s="509"/>
      <c r="AH134" s="509"/>
      <c r="AI134" s="509"/>
      <c r="AJ134" s="509"/>
      <c r="AK134" s="509"/>
      <c r="AL134" s="509"/>
      <c r="AM134" s="509"/>
      <c r="AN134" s="509"/>
      <c r="AO134" s="509"/>
    </row>
    <row r="135" spans="1:41" s="508" customFormat="1" ht="27" customHeight="1">
      <c r="A135" s="799" t="s">
        <v>723</v>
      </c>
      <c r="B135" s="803"/>
      <c r="C135" s="800">
        <v>997006519</v>
      </c>
      <c r="D135" s="408" t="s">
        <v>189</v>
      </c>
      <c r="E135" s="801" t="s">
        <v>125</v>
      </c>
      <c r="F135" s="802">
        <f>F131*5</f>
        <v>1.03</v>
      </c>
      <c r="G135" s="81"/>
      <c r="H135" s="790">
        <f>F135*G135</f>
        <v>0</v>
      </c>
      <c r="I135" s="449" t="s">
        <v>738</v>
      </c>
      <c r="J135" s="450"/>
      <c r="K135" s="451"/>
      <c r="L135" s="451"/>
      <c r="M135" s="451"/>
      <c r="N135" s="451"/>
      <c r="O135" s="451"/>
      <c r="P135" s="451"/>
      <c r="Q135" s="452"/>
      <c r="R135" s="452"/>
      <c r="S135" s="453"/>
      <c r="T135" s="452"/>
      <c r="U135" s="509"/>
      <c r="V135" s="509"/>
      <c r="W135" s="509"/>
      <c r="X135" s="509"/>
      <c r="Y135" s="509"/>
      <c r="Z135" s="509"/>
      <c r="AA135" s="509"/>
      <c r="AB135" s="509"/>
      <c r="AC135" s="509"/>
      <c r="AD135" s="509"/>
      <c r="AE135" s="509"/>
      <c r="AF135" s="509"/>
      <c r="AG135" s="509"/>
      <c r="AH135" s="509"/>
      <c r="AI135" s="509"/>
      <c r="AJ135" s="509"/>
      <c r="AK135" s="509"/>
      <c r="AL135" s="509"/>
      <c r="AM135" s="509"/>
      <c r="AN135" s="509"/>
      <c r="AO135" s="509"/>
    </row>
    <row r="136" spans="1:41" s="508" customFormat="1" ht="27" customHeight="1">
      <c r="A136" s="799" t="s">
        <v>724</v>
      </c>
      <c r="B136" s="803"/>
      <c r="C136" s="800">
        <v>997013813</v>
      </c>
      <c r="D136" s="408" t="s">
        <v>301</v>
      </c>
      <c r="E136" s="801" t="s">
        <v>125</v>
      </c>
      <c r="F136" s="802">
        <f>F132</f>
        <v>0.20599999999999999</v>
      </c>
      <c r="G136" s="81"/>
      <c r="H136" s="790">
        <f>F136*G136</f>
        <v>0</v>
      </c>
      <c r="I136" s="449" t="s">
        <v>738</v>
      </c>
      <c r="J136" s="450"/>
      <c r="K136" s="451"/>
      <c r="L136" s="451"/>
      <c r="M136" s="451"/>
      <c r="N136" s="451"/>
      <c r="O136" s="451"/>
      <c r="P136" s="451"/>
      <c r="Q136" s="452"/>
      <c r="R136" s="452"/>
      <c r="S136" s="453"/>
      <c r="T136" s="804"/>
      <c r="U136" s="509"/>
      <c r="V136" s="509"/>
      <c r="W136" s="509"/>
      <c r="X136" s="509"/>
      <c r="Y136" s="509"/>
      <c r="Z136" s="509"/>
      <c r="AA136" s="509"/>
      <c r="AB136" s="509"/>
      <c r="AC136" s="509"/>
      <c r="AD136" s="509"/>
      <c r="AE136" s="509"/>
      <c r="AF136" s="509"/>
      <c r="AG136" s="509"/>
      <c r="AH136" s="509"/>
      <c r="AI136" s="509"/>
      <c r="AJ136" s="509"/>
      <c r="AK136" s="509"/>
      <c r="AL136" s="509"/>
      <c r="AM136" s="509"/>
      <c r="AN136" s="509"/>
      <c r="AO136" s="509"/>
    </row>
    <row r="137" spans="1:41" s="508" customFormat="1" ht="67.5" customHeight="1">
      <c r="A137" s="805"/>
      <c r="B137" s="803"/>
      <c r="C137" s="806"/>
      <c r="D137" s="807" t="s">
        <v>195</v>
      </c>
      <c r="E137" s="808"/>
      <c r="F137" s="802"/>
      <c r="G137" s="457"/>
      <c r="H137" s="437"/>
      <c r="I137" s="458"/>
      <c r="J137" s="809"/>
      <c r="K137" s="509"/>
      <c r="L137" s="693"/>
      <c r="M137" s="693"/>
      <c r="N137" s="693"/>
      <c r="O137" s="509"/>
      <c r="P137" s="509"/>
      <c r="Q137" s="509"/>
      <c r="R137" s="509"/>
      <c r="S137" s="509"/>
      <c r="T137" s="509"/>
      <c r="U137" s="509"/>
      <c r="V137" s="509"/>
      <c r="W137" s="509"/>
      <c r="X137" s="509"/>
      <c r="Y137" s="509"/>
      <c r="Z137" s="509"/>
      <c r="AA137" s="509"/>
      <c r="AB137" s="509"/>
      <c r="AC137" s="509"/>
      <c r="AD137" s="509"/>
      <c r="AE137" s="509"/>
      <c r="AF137" s="509"/>
      <c r="AG137" s="509"/>
      <c r="AH137" s="509"/>
      <c r="AI137" s="509"/>
      <c r="AJ137" s="509"/>
      <c r="AK137" s="509"/>
      <c r="AL137" s="509"/>
      <c r="AM137" s="509"/>
      <c r="AN137" s="509"/>
      <c r="AO137" s="509"/>
    </row>
    <row r="138" spans="1:41" ht="13.5" customHeight="1">
      <c r="A138" s="530"/>
      <c r="B138" s="530"/>
      <c r="C138" s="694" t="s">
        <v>145</v>
      </c>
      <c r="D138" s="694" t="s">
        <v>146</v>
      </c>
      <c r="E138" s="694"/>
      <c r="F138" s="695"/>
      <c r="G138" s="696"/>
      <c r="H138" s="696">
        <f>SUM(H139:H142)</f>
        <v>0</v>
      </c>
      <c r="I138" s="697"/>
    </row>
    <row r="139" spans="1:41" s="314" customFormat="1" ht="13.5" customHeight="1">
      <c r="A139" s="352">
        <v>44</v>
      </c>
      <c r="B139" s="354">
        <v>231</v>
      </c>
      <c r="C139" s="354">
        <v>998231311</v>
      </c>
      <c r="D139" s="354" t="s">
        <v>147</v>
      </c>
      <c r="E139" s="354" t="s">
        <v>125</v>
      </c>
      <c r="F139" s="355">
        <f>(0.45+0.89)/1000+0.44</f>
        <v>0.44134000000000001</v>
      </c>
      <c r="G139" s="503"/>
      <c r="H139" s="356">
        <f>F139*G139</f>
        <v>0</v>
      </c>
      <c r="I139" s="360" t="s">
        <v>738</v>
      </c>
      <c r="J139" s="698"/>
      <c r="K139" s="313"/>
      <c r="L139" s="313"/>
      <c r="M139" s="313"/>
      <c r="N139" s="313"/>
      <c r="O139" s="313"/>
      <c r="P139" s="313"/>
      <c r="Q139" s="313"/>
      <c r="R139" s="313"/>
      <c r="S139" s="313"/>
      <c r="T139" s="313"/>
      <c r="U139" s="313"/>
      <c r="V139" s="313"/>
      <c r="W139" s="313"/>
      <c r="X139" s="313"/>
      <c r="Y139" s="313"/>
      <c r="Z139" s="313"/>
      <c r="AA139" s="313"/>
      <c r="AB139" s="313"/>
      <c r="AC139" s="313"/>
      <c r="AD139" s="313"/>
      <c r="AE139" s="313"/>
      <c r="AF139" s="313"/>
      <c r="AG139" s="313"/>
      <c r="AH139" s="313"/>
      <c r="AI139" s="313"/>
      <c r="AJ139" s="313"/>
      <c r="AK139" s="313"/>
      <c r="AL139" s="313"/>
      <c r="AM139" s="313"/>
      <c r="AN139" s="313"/>
      <c r="AO139" s="313"/>
    </row>
    <row r="140" spans="1:41" ht="13.5" customHeight="1">
      <c r="A140" s="699" t="s">
        <v>726</v>
      </c>
      <c r="B140" s="700" t="s">
        <v>263</v>
      </c>
      <c r="C140" s="34">
        <v>998276101</v>
      </c>
      <c r="D140" s="34" t="s">
        <v>185</v>
      </c>
      <c r="E140" s="34" t="s">
        <v>125</v>
      </c>
      <c r="F140" s="534">
        <f>13.261-F139</f>
        <v>12.819659999999999</v>
      </c>
      <c r="G140" s="79"/>
      <c r="H140" s="532">
        <f>F140*G140</f>
        <v>0</v>
      </c>
      <c r="I140" s="360" t="s">
        <v>738</v>
      </c>
    </row>
    <row r="141" spans="1:41" ht="13.5" customHeight="1">
      <c r="A141" s="530">
        <v>46</v>
      </c>
      <c r="B141" s="34" t="s">
        <v>148</v>
      </c>
      <c r="C141" s="34" t="s">
        <v>149</v>
      </c>
      <c r="D141" s="34" t="s">
        <v>150</v>
      </c>
      <c r="E141" s="34" t="s">
        <v>151</v>
      </c>
      <c r="F141" s="534">
        <f>F142</f>
        <v>10</v>
      </c>
      <c r="G141" s="79"/>
      <c r="H141" s="532">
        <f>F141*G141</f>
        <v>0</v>
      </c>
      <c r="I141" s="360" t="s">
        <v>738</v>
      </c>
      <c r="J141" s="552"/>
    </row>
    <row r="142" spans="1:41" ht="27" customHeight="1">
      <c r="A142" s="530"/>
      <c r="B142" s="34"/>
      <c r="C142" s="674"/>
      <c r="D142" s="36" t="s">
        <v>165</v>
      </c>
      <c r="E142" s="674"/>
      <c r="F142" s="675">
        <v>10</v>
      </c>
      <c r="G142" s="676"/>
      <c r="H142" s="676"/>
      <c r="I142" s="677"/>
    </row>
    <row r="143" spans="1:41" ht="13.5" customHeight="1">
      <c r="A143" s="701"/>
      <c r="B143" s="702"/>
      <c r="C143" s="702"/>
      <c r="D143" s="702" t="s">
        <v>18</v>
      </c>
      <c r="E143" s="702"/>
      <c r="F143" s="703"/>
      <c r="G143" s="704"/>
      <c r="H143" s="704">
        <f>H9</f>
        <v>0</v>
      </c>
      <c r="I143" s="508"/>
    </row>
    <row r="144" spans="1:41" ht="13.5" customHeight="1">
      <c r="A144" s="705"/>
      <c r="B144" s="705"/>
      <c r="C144" s="706"/>
      <c r="D144" s="706"/>
      <c r="E144" s="707"/>
      <c r="F144" s="708"/>
      <c r="G144" s="709"/>
      <c r="H144" s="709"/>
      <c r="I144" s="710"/>
    </row>
    <row r="145" spans="1:41" ht="13.5" customHeight="1">
      <c r="A145" s="711" t="s">
        <v>88</v>
      </c>
      <c r="B145" s="712"/>
      <c r="C145" s="713"/>
      <c r="D145" s="714" t="s">
        <v>545</v>
      </c>
      <c r="E145" s="715"/>
      <c r="F145" s="716"/>
      <c r="G145" s="717"/>
      <c r="H145" s="718">
        <f>H143</f>
        <v>0</v>
      </c>
      <c r="I145" s="719"/>
    </row>
    <row r="146" spans="1:41" ht="13.5" customHeight="1">
      <c r="A146" s="720"/>
      <c r="B146" s="721"/>
      <c r="C146" s="721"/>
      <c r="D146" s="722"/>
      <c r="E146" s="723"/>
      <c r="F146" s="724"/>
      <c r="G146" s="725"/>
      <c r="H146" s="726"/>
      <c r="I146" s="508"/>
    </row>
    <row r="147" spans="1:41" s="307" customFormat="1" ht="11.25">
      <c r="A147" s="307" t="s">
        <v>22</v>
      </c>
      <c r="J147" s="69"/>
      <c r="K147" s="69"/>
      <c r="L147" s="69"/>
      <c r="M147" s="69"/>
      <c r="N147" s="69"/>
      <c r="O147" s="69"/>
      <c r="P147" s="69"/>
      <c r="Q147" s="69"/>
      <c r="R147" s="69"/>
      <c r="S147" s="69"/>
      <c r="T147" s="69"/>
      <c r="U147" s="69"/>
      <c r="V147" s="69"/>
      <c r="W147" s="69"/>
      <c r="X147" s="69"/>
      <c r="Y147" s="69"/>
      <c r="Z147" s="69"/>
      <c r="AA147" s="69"/>
      <c r="AB147" s="69"/>
      <c r="AC147" s="69"/>
      <c r="AD147" s="69"/>
      <c r="AE147" s="69"/>
      <c r="AF147" s="69"/>
      <c r="AG147" s="69"/>
      <c r="AH147" s="69"/>
      <c r="AI147" s="69"/>
      <c r="AJ147" s="69"/>
      <c r="AK147" s="69"/>
      <c r="AL147" s="69"/>
      <c r="AM147" s="69"/>
      <c r="AN147" s="69"/>
      <c r="AO147" s="69"/>
    </row>
    <row r="148" spans="1:41" s="307" customFormat="1" ht="23.45" customHeight="1">
      <c r="A148" s="727" t="s">
        <v>89</v>
      </c>
      <c r="B148" s="728"/>
      <c r="C148" s="728"/>
      <c r="D148" s="728"/>
      <c r="E148" s="728"/>
      <c r="F148" s="728"/>
      <c r="G148" s="728"/>
      <c r="J148" s="69"/>
      <c r="K148" s="69"/>
      <c r="L148" s="69"/>
      <c r="M148" s="69"/>
      <c r="N148" s="69"/>
      <c r="O148" s="69"/>
      <c r="P148" s="69"/>
      <c r="Q148" s="69"/>
      <c r="R148" s="69"/>
      <c r="S148" s="69"/>
      <c r="T148" s="69"/>
      <c r="U148" s="69"/>
      <c r="V148" s="69"/>
      <c r="W148" s="69"/>
      <c r="X148" s="69"/>
      <c r="Y148" s="69"/>
      <c r="Z148" s="69"/>
      <c r="AA148" s="69"/>
      <c r="AB148" s="69"/>
      <c r="AC148" s="69"/>
      <c r="AD148" s="69"/>
      <c r="AE148" s="69"/>
      <c r="AF148" s="69"/>
      <c r="AG148" s="69"/>
      <c r="AH148" s="69"/>
      <c r="AI148" s="69"/>
      <c r="AJ148" s="69"/>
      <c r="AK148" s="69"/>
      <c r="AL148" s="69"/>
      <c r="AM148" s="69"/>
      <c r="AN148" s="69"/>
      <c r="AO148" s="69"/>
    </row>
    <row r="149" spans="1:41" s="307" customFormat="1" ht="93.75" customHeight="1">
      <c r="A149" s="727" t="s">
        <v>68</v>
      </c>
      <c r="B149" s="729"/>
      <c r="C149" s="729"/>
      <c r="D149" s="729"/>
      <c r="E149" s="729"/>
      <c r="F149" s="729"/>
      <c r="G149" s="729"/>
      <c r="J149" s="69"/>
      <c r="K149" s="69"/>
      <c r="L149" s="69"/>
      <c r="M149" s="69"/>
      <c r="N149" s="69"/>
      <c r="O149" s="69"/>
      <c r="P149" s="69"/>
      <c r="Q149" s="69"/>
      <c r="R149" s="69"/>
      <c r="S149" s="69"/>
      <c r="T149" s="69"/>
      <c r="U149" s="69"/>
      <c r="V149" s="69"/>
      <c r="W149" s="69"/>
      <c r="X149" s="69"/>
      <c r="Y149" s="69"/>
      <c r="Z149" s="69"/>
      <c r="AA149" s="69"/>
      <c r="AB149" s="69"/>
      <c r="AC149" s="69"/>
      <c r="AD149" s="69"/>
      <c r="AE149" s="69"/>
      <c r="AF149" s="69"/>
      <c r="AG149" s="69"/>
      <c r="AH149" s="69"/>
      <c r="AI149" s="69"/>
      <c r="AJ149" s="69"/>
      <c r="AK149" s="69"/>
      <c r="AL149" s="69"/>
      <c r="AM149" s="69"/>
      <c r="AN149" s="69"/>
      <c r="AO149" s="69"/>
    </row>
    <row r="150" spans="1:41" s="496" customFormat="1" ht="13.5" customHeight="1">
      <c r="A150" s="727" t="s">
        <v>69</v>
      </c>
      <c r="B150" s="728"/>
      <c r="C150" s="728"/>
      <c r="D150" s="728"/>
      <c r="E150" s="728"/>
      <c r="F150" s="728"/>
      <c r="G150" s="728"/>
      <c r="H150" s="730"/>
      <c r="I150" s="730"/>
      <c r="J150" s="495"/>
      <c r="K150" s="495"/>
      <c r="L150" s="495"/>
      <c r="M150" s="495"/>
      <c r="N150" s="495"/>
      <c r="O150" s="495"/>
      <c r="P150" s="495"/>
      <c r="Q150" s="495"/>
      <c r="R150" s="495"/>
      <c r="S150" s="495"/>
      <c r="T150" s="495"/>
      <c r="U150" s="495"/>
      <c r="V150" s="495"/>
      <c r="W150" s="495"/>
      <c r="X150" s="495"/>
      <c r="Y150" s="495"/>
      <c r="Z150" s="495"/>
      <c r="AA150" s="495"/>
      <c r="AB150" s="495"/>
      <c r="AC150" s="495"/>
      <c r="AD150" s="495"/>
      <c r="AE150" s="495"/>
      <c r="AF150" s="495"/>
      <c r="AG150" s="495"/>
      <c r="AH150" s="495"/>
      <c r="AI150" s="495"/>
      <c r="AJ150" s="495"/>
      <c r="AK150" s="495"/>
      <c r="AL150" s="495"/>
      <c r="AM150" s="495"/>
      <c r="AN150" s="495"/>
      <c r="AO150" s="495"/>
    </row>
    <row r="151" spans="1:41" s="496" customFormat="1" ht="13.5" customHeight="1">
      <c r="A151" s="727" t="s">
        <v>70</v>
      </c>
      <c r="B151" s="728"/>
      <c r="C151" s="728"/>
      <c r="D151" s="728"/>
      <c r="E151" s="728"/>
      <c r="F151" s="728"/>
      <c r="G151" s="728"/>
      <c r="H151" s="730"/>
      <c r="I151" s="730"/>
      <c r="J151" s="495"/>
      <c r="K151" s="495"/>
      <c r="L151" s="495"/>
      <c r="M151" s="495"/>
      <c r="N151" s="495"/>
      <c r="O151" s="495"/>
      <c r="P151" s="495"/>
      <c r="Q151" s="495"/>
      <c r="R151" s="495"/>
      <c r="S151" s="495"/>
      <c r="T151" s="495"/>
      <c r="U151" s="495"/>
      <c r="V151" s="495"/>
      <c r="W151" s="495"/>
      <c r="X151" s="495"/>
      <c r="Y151" s="495"/>
      <c r="Z151" s="495"/>
      <c r="AA151" s="495"/>
      <c r="AB151" s="495"/>
      <c r="AC151" s="495"/>
      <c r="AD151" s="495"/>
      <c r="AE151" s="495"/>
      <c r="AF151" s="495"/>
      <c r="AG151" s="495"/>
      <c r="AH151" s="495"/>
      <c r="AI151" s="495"/>
      <c r="AJ151" s="495"/>
      <c r="AK151" s="495"/>
      <c r="AL151" s="495"/>
      <c r="AM151" s="495"/>
      <c r="AN151" s="495"/>
      <c r="AO151" s="495"/>
    </row>
    <row r="152" spans="1:41" s="307" customFormat="1" ht="47.25" customHeight="1">
      <c r="A152" s="497" t="s">
        <v>728</v>
      </c>
      <c r="B152" s="497"/>
      <c r="C152" s="497"/>
      <c r="D152" s="497"/>
      <c r="E152" s="497"/>
      <c r="F152" s="497"/>
      <c r="G152" s="497"/>
      <c r="J152" s="69"/>
      <c r="K152" s="69"/>
      <c r="L152" s="69"/>
      <c r="M152" s="69"/>
      <c r="N152" s="69"/>
      <c r="O152" s="69"/>
      <c r="P152" s="69"/>
      <c r="Q152" s="69"/>
      <c r="R152" s="69"/>
      <c r="S152" s="69"/>
      <c r="T152" s="69"/>
      <c r="U152" s="69"/>
      <c r="V152" s="69"/>
      <c r="W152" s="69"/>
      <c r="X152" s="69"/>
      <c r="Y152" s="69"/>
      <c r="Z152" s="69"/>
      <c r="AA152" s="69"/>
      <c r="AB152" s="69"/>
      <c r="AC152" s="69"/>
      <c r="AD152" s="69"/>
      <c r="AE152" s="69"/>
      <c r="AF152" s="69"/>
      <c r="AG152" s="69"/>
      <c r="AH152" s="69"/>
      <c r="AI152" s="69"/>
      <c r="AJ152" s="69"/>
      <c r="AK152" s="69"/>
      <c r="AL152" s="69"/>
      <c r="AM152" s="69"/>
      <c r="AN152" s="69"/>
      <c r="AO152" s="69"/>
    </row>
    <row r="153" spans="1:41" s="307" customFormat="1" ht="23.45" customHeight="1">
      <c r="A153" s="727"/>
      <c r="B153" s="728"/>
      <c r="C153" s="728"/>
      <c r="D153" s="728"/>
      <c r="E153" s="728"/>
      <c r="F153" s="728"/>
      <c r="G153" s="728"/>
      <c r="J153" s="69"/>
      <c r="K153" s="69"/>
      <c r="L153" s="69"/>
      <c r="M153" s="69"/>
      <c r="N153" s="69"/>
      <c r="O153" s="69"/>
      <c r="P153" s="69"/>
      <c r="Q153" s="69"/>
      <c r="R153" s="69"/>
      <c r="S153" s="69"/>
      <c r="T153" s="69"/>
      <c r="U153" s="69"/>
      <c r="V153" s="69"/>
      <c r="W153" s="69"/>
      <c r="X153" s="69"/>
      <c r="Y153" s="69"/>
      <c r="Z153" s="69"/>
      <c r="AA153" s="69"/>
      <c r="AB153" s="69"/>
      <c r="AC153" s="69"/>
      <c r="AD153" s="69"/>
      <c r="AE153" s="69"/>
      <c r="AF153" s="69"/>
      <c r="AG153" s="69"/>
      <c r="AH153" s="69"/>
      <c r="AI153" s="69"/>
      <c r="AJ153" s="69"/>
      <c r="AK153" s="69"/>
      <c r="AL153" s="69"/>
      <c r="AM153" s="69"/>
      <c r="AN153" s="69"/>
      <c r="AO153" s="69"/>
    </row>
    <row r="154" spans="1:41" ht="13.5" customHeight="1"/>
    <row r="155" spans="1:41" ht="13.5" customHeight="1"/>
    <row r="156" spans="1:41" ht="13.5" customHeight="1"/>
    <row r="157" spans="1:41" ht="13.5" customHeight="1"/>
    <row r="158" spans="1:41" ht="13.5" customHeight="1"/>
    <row r="159" spans="1:41" ht="13.5" customHeight="1"/>
    <row r="160" spans="1:41" ht="36.75" customHeight="1"/>
    <row r="161" ht="36.75" customHeight="1"/>
    <row r="162" ht="13.5" customHeight="1"/>
    <row r="163" ht="25.5" customHeight="1"/>
    <row r="164" ht="36.75" customHeight="1"/>
    <row r="165" ht="13.5" customHeight="1"/>
    <row r="166" ht="25.5" customHeight="1"/>
    <row r="167" ht="36.75" customHeight="1"/>
    <row r="168" ht="13.5" customHeight="1"/>
    <row r="169" ht="25.5" customHeight="1"/>
    <row r="170" ht="36.75" customHeight="1"/>
    <row r="171" ht="13.5" customHeight="1"/>
    <row r="172" ht="25.5" customHeight="1"/>
    <row r="173" ht="36.7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40.5" customHeight="1"/>
    <row r="187" ht="13.5" customHeight="1"/>
    <row r="188" ht="13.5" customHeight="1"/>
    <row r="189" ht="13.5" customHeight="1"/>
    <row r="190" ht="13.5" customHeight="1"/>
    <row r="191" ht="27" customHeight="1"/>
    <row r="192" ht="42.75" customHeight="1"/>
    <row r="193" ht="13.5" customHeight="1"/>
    <row r="194" ht="13.5" customHeight="1"/>
    <row r="195" ht="13.5" customHeight="1"/>
    <row r="196" ht="13.5" customHeight="1"/>
    <row r="197" ht="13.5" customHeight="1"/>
    <row r="198" ht="40.5" customHeight="1"/>
    <row r="199" ht="13.5" customHeight="1"/>
    <row r="200" ht="13.5" customHeight="1"/>
    <row r="201" ht="13.5" customHeight="1"/>
    <row r="202" ht="13.5" customHeight="1"/>
    <row r="203" ht="13.5" customHeight="1"/>
    <row r="204" ht="27" customHeight="1"/>
    <row r="205" ht="13.5" customHeight="1"/>
    <row r="206" ht="13.5" customHeight="1"/>
    <row r="207" ht="27" customHeight="1"/>
    <row r="208" ht="21" customHeight="1"/>
    <row r="210" ht="13.5" customHeight="1"/>
    <row r="211" ht="13.5" customHeight="1"/>
    <row r="212" ht="13.5" customHeight="1"/>
    <row r="213" ht="27" customHeight="1"/>
    <row r="214" ht="93.75" customHeight="1"/>
    <row r="215" ht="13.5" customHeight="1"/>
    <row r="216" ht="13.5" customHeight="1"/>
  </sheetData>
  <sheetProtection algorithmName="SHA-512" hashValue="KpdRM7AS/3L5b1utPhiPQDkiWP7BBkJrxVLZQDTYRHWcEJXKR5Gw5womlNBSRyOq16+PZOcZU/f8rTzsB85PkA==" saltValue="U0HRLH8d6xQWHof5o32PYw==" spinCount="100000" sheet="1" objects="1" scenarios="1"/>
  <mergeCells count="9">
    <mergeCell ref="A151:G151"/>
    <mergeCell ref="A152:G152"/>
    <mergeCell ref="A153:G153"/>
    <mergeCell ref="A2:D2"/>
    <mergeCell ref="A3:D3"/>
    <mergeCell ref="A145:C145"/>
    <mergeCell ref="A148:G148"/>
    <mergeCell ref="A149:G149"/>
    <mergeCell ref="A150:G150"/>
  </mergeCells>
  <printOptions horizontalCentered="1"/>
  <pageMargins left="0.39370078740157483" right="0.39370078740157483" top="0.59055118110236227" bottom="0.19685039370078741" header="0" footer="0"/>
  <pageSetup paperSize="9" scale="63" fitToHeight="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317EF-9B1F-4E0A-AF6F-38C0DEC6D70E}">
  <sheetPr>
    <pageSetUpPr fitToPage="1"/>
  </sheetPr>
  <dimension ref="A1:IV149"/>
  <sheetViews>
    <sheetView zoomScaleNormal="100" workbookViewId="0"/>
  </sheetViews>
  <sheetFormatPr defaultColWidth="9" defaultRowHeight="12" customHeight="1"/>
  <cols>
    <col min="1" max="1" width="4.140625" style="965" customWidth="1"/>
    <col min="2" max="2" width="4.28515625" style="966" customWidth="1"/>
    <col min="3" max="3" width="13.5703125" style="966" customWidth="1"/>
    <col min="4" max="4" width="65" style="966" customWidth="1"/>
    <col min="5" max="5" width="6.7109375" style="966" customWidth="1"/>
    <col min="6" max="6" width="8.42578125" style="967" customWidth="1"/>
    <col min="7" max="7" width="10" style="968" customWidth="1"/>
    <col min="8" max="8" width="15.7109375" style="968" customWidth="1"/>
    <col min="9" max="9" width="17" style="314" customWidth="1"/>
    <col min="10" max="10" width="19.140625" style="313" customWidth="1"/>
    <col min="11" max="11" width="11.5703125" style="313" customWidth="1"/>
    <col min="12" max="61" width="9" style="313"/>
    <col min="62" max="256" width="9" style="314"/>
    <col min="257" max="257" width="4.140625" style="314" customWidth="1"/>
    <col min="258" max="258" width="4.28515625" style="314" customWidth="1"/>
    <col min="259" max="259" width="13.5703125" style="314" customWidth="1"/>
    <col min="260" max="260" width="65" style="314" customWidth="1"/>
    <col min="261" max="261" width="6.7109375" style="314" customWidth="1"/>
    <col min="262" max="262" width="8.42578125" style="314" customWidth="1"/>
    <col min="263" max="263" width="10" style="314" customWidth="1"/>
    <col min="264" max="264" width="15.7109375" style="314" customWidth="1"/>
    <col min="265" max="265" width="17" style="314" customWidth="1"/>
    <col min="266" max="266" width="13.28515625" style="314" customWidth="1"/>
    <col min="267" max="267" width="11.5703125" style="314" customWidth="1"/>
    <col min="268" max="512" width="9" style="314"/>
    <col min="513" max="513" width="4.140625" style="314" customWidth="1"/>
    <col min="514" max="514" width="4.28515625" style="314" customWidth="1"/>
    <col min="515" max="515" width="13.5703125" style="314" customWidth="1"/>
    <col min="516" max="516" width="65" style="314" customWidth="1"/>
    <col min="517" max="517" width="6.7109375" style="314" customWidth="1"/>
    <col min="518" max="518" width="8.42578125" style="314" customWidth="1"/>
    <col min="519" max="519" width="10" style="314" customWidth="1"/>
    <col min="520" max="520" width="15.7109375" style="314" customWidth="1"/>
    <col min="521" max="521" width="17" style="314" customWidth="1"/>
    <col min="522" max="522" width="13.28515625" style="314" customWidth="1"/>
    <col min="523" max="523" width="11.5703125" style="314" customWidth="1"/>
    <col min="524" max="768" width="9" style="314"/>
    <col min="769" max="769" width="4.140625" style="314" customWidth="1"/>
    <col min="770" max="770" width="4.28515625" style="314" customWidth="1"/>
    <col min="771" max="771" width="13.5703125" style="314" customWidth="1"/>
    <col min="772" max="772" width="65" style="314" customWidth="1"/>
    <col min="773" max="773" width="6.7109375" style="314" customWidth="1"/>
    <col min="774" max="774" width="8.42578125" style="314" customWidth="1"/>
    <col min="775" max="775" width="10" style="314" customWidth="1"/>
    <col min="776" max="776" width="15.7109375" style="314" customWidth="1"/>
    <col min="777" max="777" width="17" style="314" customWidth="1"/>
    <col min="778" max="778" width="13.28515625" style="314" customWidth="1"/>
    <col min="779" max="779" width="11.5703125" style="314" customWidth="1"/>
    <col min="780" max="1024" width="9" style="314"/>
    <col min="1025" max="1025" width="4.140625" style="314" customWidth="1"/>
    <col min="1026" max="1026" width="4.28515625" style="314" customWidth="1"/>
    <col min="1027" max="1027" width="13.5703125" style="314" customWidth="1"/>
    <col min="1028" max="1028" width="65" style="314" customWidth="1"/>
    <col min="1029" max="1029" width="6.7109375" style="314" customWidth="1"/>
    <col min="1030" max="1030" width="8.42578125" style="314" customWidth="1"/>
    <col min="1031" max="1031" width="10" style="314" customWidth="1"/>
    <col min="1032" max="1032" width="15.7109375" style="314" customWidth="1"/>
    <col min="1033" max="1033" width="17" style="314" customWidth="1"/>
    <col min="1034" max="1034" width="13.28515625" style="314" customWidth="1"/>
    <col min="1035" max="1035" width="11.5703125" style="314" customWidth="1"/>
    <col min="1036" max="1280" width="9" style="314"/>
    <col min="1281" max="1281" width="4.140625" style="314" customWidth="1"/>
    <col min="1282" max="1282" width="4.28515625" style="314" customWidth="1"/>
    <col min="1283" max="1283" width="13.5703125" style="314" customWidth="1"/>
    <col min="1284" max="1284" width="65" style="314" customWidth="1"/>
    <col min="1285" max="1285" width="6.7109375" style="314" customWidth="1"/>
    <col min="1286" max="1286" width="8.42578125" style="314" customWidth="1"/>
    <col min="1287" max="1287" width="10" style="314" customWidth="1"/>
    <col min="1288" max="1288" width="15.7109375" style="314" customWidth="1"/>
    <col min="1289" max="1289" width="17" style="314" customWidth="1"/>
    <col min="1290" max="1290" width="13.28515625" style="314" customWidth="1"/>
    <col min="1291" max="1291" width="11.5703125" style="314" customWidth="1"/>
    <col min="1292" max="1536" width="9" style="314"/>
    <col min="1537" max="1537" width="4.140625" style="314" customWidth="1"/>
    <col min="1538" max="1538" width="4.28515625" style="314" customWidth="1"/>
    <col min="1539" max="1539" width="13.5703125" style="314" customWidth="1"/>
    <col min="1540" max="1540" width="65" style="314" customWidth="1"/>
    <col min="1541" max="1541" width="6.7109375" style="314" customWidth="1"/>
    <col min="1542" max="1542" width="8.42578125" style="314" customWidth="1"/>
    <col min="1543" max="1543" width="10" style="314" customWidth="1"/>
    <col min="1544" max="1544" width="15.7109375" style="314" customWidth="1"/>
    <col min="1545" max="1545" width="17" style="314" customWidth="1"/>
    <col min="1546" max="1546" width="13.28515625" style="314" customWidth="1"/>
    <col min="1547" max="1547" width="11.5703125" style="314" customWidth="1"/>
    <col min="1548" max="1792" width="9" style="314"/>
    <col min="1793" max="1793" width="4.140625" style="314" customWidth="1"/>
    <col min="1794" max="1794" width="4.28515625" style="314" customWidth="1"/>
    <col min="1795" max="1795" width="13.5703125" style="314" customWidth="1"/>
    <col min="1796" max="1796" width="65" style="314" customWidth="1"/>
    <col min="1797" max="1797" width="6.7109375" style="314" customWidth="1"/>
    <col min="1798" max="1798" width="8.42578125" style="314" customWidth="1"/>
    <col min="1799" max="1799" width="10" style="314" customWidth="1"/>
    <col min="1800" max="1800" width="15.7109375" style="314" customWidth="1"/>
    <col min="1801" max="1801" width="17" style="314" customWidth="1"/>
    <col min="1802" max="1802" width="13.28515625" style="314" customWidth="1"/>
    <col min="1803" max="1803" width="11.5703125" style="314" customWidth="1"/>
    <col min="1804" max="2048" width="9" style="314"/>
    <col min="2049" max="2049" width="4.140625" style="314" customWidth="1"/>
    <col min="2050" max="2050" width="4.28515625" style="314" customWidth="1"/>
    <col min="2051" max="2051" width="13.5703125" style="314" customWidth="1"/>
    <col min="2052" max="2052" width="65" style="314" customWidth="1"/>
    <col min="2053" max="2053" width="6.7109375" style="314" customWidth="1"/>
    <col min="2054" max="2054" width="8.42578125" style="314" customWidth="1"/>
    <col min="2055" max="2055" width="10" style="314" customWidth="1"/>
    <col min="2056" max="2056" width="15.7109375" style="314" customWidth="1"/>
    <col min="2057" max="2057" width="17" style="314" customWidth="1"/>
    <col min="2058" max="2058" width="13.28515625" style="314" customWidth="1"/>
    <col min="2059" max="2059" width="11.5703125" style="314" customWidth="1"/>
    <col min="2060" max="2304" width="9" style="314"/>
    <col min="2305" max="2305" width="4.140625" style="314" customWidth="1"/>
    <col min="2306" max="2306" width="4.28515625" style="314" customWidth="1"/>
    <col min="2307" max="2307" width="13.5703125" style="314" customWidth="1"/>
    <col min="2308" max="2308" width="65" style="314" customWidth="1"/>
    <col min="2309" max="2309" width="6.7109375" style="314" customWidth="1"/>
    <col min="2310" max="2310" width="8.42578125" style="314" customWidth="1"/>
    <col min="2311" max="2311" width="10" style="314" customWidth="1"/>
    <col min="2312" max="2312" width="15.7109375" style="314" customWidth="1"/>
    <col min="2313" max="2313" width="17" style="314" customWidth="1"/>
    <col min="2314" max="2314" width="13.28515625" style="314" customWidth="1"/>
    <col min="2315" max="2315" width="11.5703125" style="314" customWidth="1"/>
    <col min="2316" max="2560" width="9" style="314"/>
    <col min="2561" max="2561" width="4.140625" style="314" customWidth="1"/>
    <col min="2562" max="2562" width="4.28515625" style="314" customWidth="1"/>
    <col min="2563" max="2563" width="13.5703125" style="314" customWidth="1"/>
    <col min="2564" max="2564" width="65" style="314" customWidth="1"/>
    <col min="2565" max="2565" width="6.7109375" style="314" customWidth="1"/>
    <col min="2566" max="2566" width="8.42578125" style="314" customWidth="1"/>
    <col min="2567" max="2567" width="10" style="314" customWidth="1"/>
    <col min="2568" max="2568" width="15.7109375" style="314" customWidth="1"/>
    <col min="2569" max="2569" width="17" style="314" customWidth="1"/>
    <col min="2570" max="2570" width="13.28515625" style="314" customWidth="1"/>
    <col min="2571" max="2571" width="11.5703125" style="314" customWidth="1"/>
    <col min="2572" max="2816" width="9" style="314"/>
    <col min="2817" max="2817" width="4.140625" style="314" customWidth="1"/>
    <col min="2818" max="2818" width="4.28515625" style="314" customWidth="1"/>
    <col min="2819" max="2819" width="13.5703125" style="314" customWidth="1"/>
    <col min="2820" max="2820" width="65" style="314" customWidth="1"/>
    <col min="2821" max="2821" width="6.7109375" style="314" customWidth="1"/>
    <col min="2822" max="2822" width="8.42578125" style="314" customWidth="1"/>
    <col min="2823" max="2823" width="10" style="314" customWidth="1"/>
    <col min="2824" max="2824" width="15.7109375" style="314" customWidth="1"/>
    <col min="2825" max="2825" width="17" style="314" customWidth="1"/>
    <col min="2826" max="2826" width="13.28515625" style="314" customWidth="1"/>
    <col min="2827" max="2827" width="11.5703125" style="314" customWidth="1"/>
    <col min="2828" max="3072" width="9" style="314"/>
    <col min="3073" max="3073" width="4.140625" style="314" customWidth="1"/>
    <col min="3074" max="3074" width="4.28515625" style="314" customWidth="1"/>
    <col min="3075" max="3075" width="13.5703125" style="314" customWidth="1"/>
    <col min="3076" max="3076" width="65" style="314" customWidth="1"/>
    <col min="3077" max="3077" width="6.7109375" style="314" customWidth="1"/>
    <col min="3078" max="3078" width="8.42578125" style="314" customWidth="1"/>
    <col min="3079" max="3079" width="10" style="314" customWidth="1"/>
    <col min="3080" max="3080" width="15.7109375" style="314" customWidth="1"/>
    <col min="3081" max="3081" width="17" style="314" customWidth="1"/>
    <col min="3082" max="3082" width="13.28515625" style="314" customWidth="1"/>
    <col min="3083" max="3083" width="11.5703125" style="314" customWidth="1"/>
    <col min="3084" max="3328" width="9" style="314"/>
    <col min="3329" max="3329" width="4.140625" style="314" customWidth="1"/>
    <col min="3330" max="3330" width="4.28515625" style="314" customWidth="1"/>
    <col min="3331" max="3331" width="13.5703125" style="314" customWidth="1"/>
    <col min="3332" max="3332" width="65" style="314" customWidth="1"/>
    <col min="3333" max="3333" width="6.7109375" style="314" customWidth="1"/>
    <col min="3334" max="3334" width="8.42578125" style="314" customWidth="1"/>
    <col min="3335" max="3335" width="10" style="314" customWidth="1"/>
    <col min="3336" max="3336" width="15.7109375" style="314" customWidth="1"/>
    <col min="3337" max="3337" width="17" style="314" customWidth="1"/>
    <col min="3338" max="3338" width="13.28515625" style="314" customWidth="1"/>
    <col min="3339" max="3339" width="11.5703125" style="314" customWidth="1"/>
    <col min="3340" max="3584" width="9" style="314"/>
    <col min="3585" max="3585" width="4.140625" style="314" customWidth="1"/>
    <col min="3586" max="3586" width="4.28515625" style="314" customWidth="1"/>
    <col min="3587" max="3587" width="13.5703125" style="314" customWidth="1"/>
    <col min="3588" max="3588" width="65" style="314" customWidth="1"/>
    <col min="3589" max="3589" width="6.7109375" style="314" customWidth="1"/>
    <col min="3590" max="3590" width="8.42578125" style="314" customWidth="1"/>
    <col min="3591" max="3591" width="10" style="314" customWidth="1"/>
    <col min="3592" max="3592" width="15.7109375" style="314" customWidth="1"/>
    <col min="3593" max="3593" width="17" style="314" customWidth="1"/>
    <col min="3594" max="3594" width="13.28515625" style="314" customWidth="1"/>
    <col min="3595" max="3595" width="11.5703125" style="314" customWidth="1"/>
    <col min="3596" max="3840" width="9" style="314"/>
    <col min="3841" max="3841" width="4.140625" style="314" customWidth="1"/>
    <col min="3842" max="3842" width="4.28515625" style="314" customWidth="1"/>
    <col min="3843" max="3843" width="13.5703125" style="314" customWidth="1"/>
    <col min="3844" max="3844" width="65" style="314" customWidth="1"/>
    <col min="3845" max="3845" width="6.7109375" style="314" customWidth="1"/>
    <col min="3846" max="3846" width="8.42578125" style="314" customWidth="1"/>
    <col min="3847" max="3847" width="10" style="314" customWidth="1"/>
    <col min="3848" max="3848" width="15.7109375" style="314" customWidth="1"/>
    <col min="3849" max="3849" width="17" style="314" customWidth="1"/>
    <col min="3850" max="3850" width="13.28515625" style="314" customWidth="1"/>
    <col min="3851" max="3851" width="11.5703125" style="314" customWidth="1"/>
    <col min="3852" max="4096" width="9" style="314"/>
    <col min="4097" max="4097" width="4.140625" style="314" customWidth="1"/>
    <col min="4098" max="4098" width="4.28515625" style="314" customWidth="1"/>
    <col min="4099" max="4099" width="13.5703125" style="314" customWidth="1"/>
    <col min="4100" max="4100" width="65" style="314" customWidth="1"/>
    <col min="4101" max="4101" width="6.7109375" style="314" customWidth="1"/>
    <col min="4102" max="4102" width="8.42578125" style="314" customWidth="1"/>
    <col min="4103" max="4103" width="10" style="314" customWidth="1"/>
    <col min="4104" max="4104" width="15.7109375" style="314" customWidth="1"/>
    <col min="4105" max="4105" width="17" style="314" customWidth="1"/>
    <col min="4106" max="4106" width="13.28515625" style="314" customWidth="1"/>
    <col min="4107" max="4107" width="11.5703125" style="314" customWidth="1"/>
    <col min="4108" max="4352" width="9" style="314"/>
    <col min="4353" max="4353" width="4.140625" style="314" customWidth="1"/>
    <col min="4354" max="4354" width="4.28515625" style="314" customWidth="1"/>
    <col min="4355" max="4355" width="13.5703125" style="314" customWidth="1"/>
    <col min="4356" max="4356" width="65" style="314" customWidth="1"/>
    <col min="4357" max="4357" width="6.7109375" style="314" customWidth="1"/>
    <col min="4358" max="4358" width="8.42578125" style="314" customWidth="1"/>
    <col min="4359" max="4359" width="10" style="314" customWidth="1"/>
    <col min="4360" max="4360" width="15.7109375" style="314" customWidth="1"/>
    <col min="4361" max="4361" width="17" style="314" customWidth="1"/>
    <col min="4362" max="4362" width="13.28515625" style="314" customWidth="1"/>
    <col min="4363" max="4363" width="11.5703125" style="314" customWidth="1"/>
    <col min="4364" max="4608" width="9" style="314"/>
    <col min="4609" max="4609" width="4.140625" style="314" customWidth="1"/>
    <col min="4610" max="4610" width="4.28515625" style="314" customWidth="1"/>
    <col min="4611" max="4611" width="13.5703125" style="314" customWidth="1"/>
    <col min="4612" max="4612" width="65" style="314" customWidth="1"/>
    <col min="4613" max="4613" width="6.7109375" style="314" customWidth="1"/>
    <col min="4614" max="4614" width="8.42578125" style="314" customWidth="1"/>
    <col min="4615" max="4615" width="10" style="314" customWidth="1"/>
    <col min="4616" max="4616" width="15.7109375" style="314" customWidth="1"/>
    <col min="4617" max="4617" width="17" style="314" customWidth="1"/>
    <col min="4618" max="4618" width="13.28515625" style="314" customWidth="1"/>
    <col min="4619" max="4619" width="11.5703125" style="314" customWidth="1"/>
    <col min="4620" max="4864" width="9" style="314"/>
    <col min="4865" max="4865" width="4.140625" style="314" customWidth="1"/>
    <col min="4866" max="4866" width="4.28515625" style="314" customWidth="1"/>
    <col min="4867" max="4867" width="13.5703125" style="314" customWidth="1"/>
    <col min="4868" max="4868" width="65" style="314" customWidth="1"/>
    <col min="4869" max="4869" width="6.7109375" style="314" customWidth="1"/>
    <col min="4870" max="4870" width="8.42578125" style="314" customWidth="1"/>
    <col min="4871" max="4871" width="10" style="314" customWidth="1"/>
    <col min="4872" max="4872" width="15.7109375" style="314" customWidth="1"/>
    <col min="4873" max="4873" width="17" style="314" customWidth="1"/>
    <col min="4874" max="4874" width="13.28515625" style="314" customWidth="1"/>
    <col min="4875" max="4875" width="11.5703125" style="314" customWidth="1"/>
    <col min="4876" max="5120" width="9" style="314"/>
    <col min="5121" max="5121" width="4.140625" style="314" customWidth="1"/>
    <col min="5122" max="5122" width="4.28515625" style="314" customWidth="1"/>
    <col min="5123" max="5123" width="13.5703125" style="314" customWidth="1"/>
    <col min="5124" max="5124" width="65" style="314" customWidth="1"/>
    <col min="5125" max="5125" width="6.7109375" style="314" customWidth="1"/>
    <col min="5126" max="5126" width="8.42578125" style="314" customWidth="1"/>
    <col min="5127" max="5127" width="10" style="314" customWidth="1"/>
    <col min="5128" max="5128" width="15.7109375" style="314" customWidth="1"/>
    <col min="5129" max="5129" width="17" style="314" customWidth="1"/>
    <col min="5130" max="5130" width="13.28515625" style="314" customWidth="1"/>
    <col min="5131" max="5131" width="11.5703125" style="314" customWidth="1"/>
    <col min="5132" max="5376" width="9" style="314"/>
    <col min="5377" max="5377" width="4.140625" style="314" customWidth="1"/>
    <col min="5378" max="5378" width="4.28515625" style="314" customWidth="1"/>
    <col min="5379" max="5379" width="13.5703125" style="314" customWidth="1"/>
    <col min="5380" max="5380" width="65" style="314" customWidth="1"/>
    <col min="5381" max="5381" width="6.7109375" style="314" customWidth="1"/>
    <col min="5382" max="5382" width="8.42578125" style="314" customWidth="1"/>
    <col min="5383" max="5383" width="10" style="314" customWidth="1"/>
    <col min="5384" max="5384" width="15.7109375" style="314" customWidth="1"/>
    <col min="5385" max="5385" width="17" style="314" customWidth="1"/>
    <col min="5386" max="5386" width="13.28515625" style="314" customWidth="1"/>
    <col min="5387" max="5387" width="11.5703125" style="314" customWidth="1"/>
    <col min="5388" max="5632" width="9" style="314"/>
    <col min="5633" max="5633" width="4.140625" style="314" customWidth="1"/>
    <col min="5634" max="5634" width="4.28515625" style="314" customWidth="1"/>
    <col min="5635" max="5635" width="13.5703125" style="314" customWidth="1"/>
    <col min="5636" max="5636" width="65" style="314" customWidth="1"/>
    <col min="5637" max="5637" width="6.7109375" style="314" customWidth="1"/>
    <col min="5638" max="5638" width="8.42578125" style="314" customWidth="1"/>
    <col min="5639" max="5639" width="10" style="314" customWidth="1"/>
    <col min="5640" max="5640" width="15.7109375" style="314" customWidth="1"/>
    <col min="5641" max="5641" width="17" style="314" customWidth="1"/>
    <col min="5642" max="5642" width="13.28515625" style="314" customWidth="1"/>
    <col min="5643" max="5643" width="11.5703125" style="314" customWidth="1"/>
    <col min="5644" max="5888" width="9" style="314"/>
    <col min="5889" max="5889" width="4.140625" style="314" customWidth="1"/>
    <col min="5890" max="5890" width="4.28515625" style="314" customWidth="1"/>
    <col min="5891" max="5891" width="13.5703125" style="314" customWidth="1"/>
    <col min="5892" max="5892" width="65" style="314" customWidth="1"/>
    <col min="5893" max="5893" width="6.7109375" style="314" customWidth="1"/>
    <col min="5894" max="5894" width="8.42578125" style="314" customWidth="1"/>
    <col min="5895" max="5895" width="10" style="314" customWidth="1"/>
    <col min="5896" max="5896" width="15.7109375" style="314" customWidth="1"/>
    <col min="5897" max="5897" width="17" style="314" customWidth="1"/>
    <col min="5898" max="5898" width="13.28515625" style="314" customWidth="1"/>
    <col min="5899" max="5899" width="11.5703125" style="314" customWidth="1"/>
    <col min="5900" max="6144" width="9" style="314"/>
    <col min="6145" max="6145" width="4.140625" style="314" customWidth="1"/>
    <col min="6146" max="6146" width="4.28515625" style="314" customWidth="1"/>
    <col min="6147" max="6147" width="13.5703125" style="314" customWidth="1"/>
    <col min="6148" max="6148" width="65" style="314" customWidth="1"/>
    <col min="6149" max="6149" width="6.7109375" style="314" customWidth="1"/>
    <col min="6150" max="6150" width="8.42578125" style="314" customWidth="1"/>
    <col min="6151" max="6151" width="10" style="314" customWidth="1"/>
    <col min="6152" max="6152" width="15.7109375" style="314" customWidth="1"/>
    <col min="6153" max="6153" width="17" style="314" customWidth="1"/>
    <col min="6154" max="6154" width="13.28515625" style="314" customWidth="1"/>
    <col min="6155" max="6155" width="11.5703125" style="314" customWidth="1"/>
    <col min="6156" max="6400" width="9" style="314"/>
    <col min="6401" max="6401" width="4.140625" style="314" customWidth="1"/>
    <col min="6402" max="6402" width="4.28515625" style="314" customWidth="1"/>
    <col min="6403" max="6403" width="13.5703125" style="314" customWidth="1"/>
    <col min="6404" max="6404" width="65" style="314" customWidth="1"/>
    <col min="6405" max="6405" width="6.7109375" style="314" customWidth="1"/>
    <col min="6406" max="6406" width="8.42578125" style="314" customWidth="1"/>
    <col min="6407" max="6407" width="10" style="314" customWidth="1"/>
    <col min="6408" max="6408" width="15.7109375" style="314" customWidth="1"/>
    <col min="6409" max="6409" width="17" style="314" customWidth="1"/>
    <col min="6410" max="6410" width="13.28515625" style="314" customWidth="1"/>
    <col min="6411" max="6411" width="11.5703125" style="314" customWidth="1"/>
    <col min="6412" max="6656" width="9" style="314"/>
    <col min="6657" max="6657" width="4.140625" style="314" customWidth="1"/>
    <col min="6658" max="6658" width="4.28515625" style="314" customWidth="1"/>
    <col min="6659" max="6659" width="13.5703125" style="314" customWidth="1"/>
    <col min="6660" max="6660" width="65" style="314" customWidth="1"/>
    <col min="6661" max="6661" width="6.7109375" style="314" customWidth="1"/>
    <col min="6662" max="6662" width="8.42578125" style="314" customWidth="1"/>
    <col min="6663" max="6663" width="10" style="314" customWidth="1"/>
    <col min="6664" max="6664" width="15.7109375" style="314" customWidth="1"/>
    <col min="6665" max="6665" width="17" style="314" customWidth="1"/>
    <col min="6666" max="6666" width="13.28515625" style="314" customWidth="1"/>
    <col min="6667" max="6667" width="11.5703125" style="314" customWidth="1"/>
    <col min="6668" max="6912" width="9" style="314"/>
    <col min="6913" max="6913" width="4.140625" style="314" customWidth="1"/>
    <col min="6914" max="6914" width="4.28515625" style="314" customWidth="1"/>
    <col min="6915" max="6915" width="13.5703125" style="314" customWidth="1"/>
    <col min="6916" max="6916" width="65" style="314" customWidth="1"/>
    <col min="6917" max="6917" width="6.7109375" style="314" customWidth="1"/>
    <col min="6918" max="6918" width="8.42578125" style="314" customWidth="1"/>
    <col min="6919" max="6919" width="10" style="314" customWidth="1"/>
    <col min="6920" max="6920" width="15.7109375" style="314" customWidth="1"/>
    <col min="6921" max="6921" width="17" style="314" customWidth="1"/>
    <col min="6922" max="6922" width="13.28515625" style="314" customWidth="1"/>
    <col min="6923" max="6923" width="11.5703125" style="314" customWidth="1"/>
    <col min="6924" max="7168" width="9" style="314"/>
    <col min="7169" max="7169" width="4.140625" style="314" customWidth="1"/>
    <col min="7170" max="7170" width="4.28515625" style="314" customWidth="1"/>
    <col min="7171" max="7171" width="13.5703125" style="314" customWidth="1"/>
    <col min="7172" max="7172" width="65" style="314" customWidth="1"/>
    <col min="7173" max="7173" width="6.7109375" style="314" customWidth="1"/>
    <col min="7174" max="7174" width="8.42578125" style="314" customWidth="1"/>
    <col min="7175" max="7175" width="10" style="314" customWidth="1"/>
    <col min="7176" max="7176" width="15.7109375" style="314" customWidth="1"/>
    <col min="7177" max="7177" width="17" style="314" customWidth="1"/>
    <col min="7178" max="7178" width="13.28515625" style="314" customWidth="1"/>
    <col min="7179" max="7179" width="11.5703125" style="314" customWidth="1"/>
    <col min="7180" max="7424" width="9" style="314"/>
    <col min="7425" max="7425" width="4.140625" style="314" customWidth="1"/>
    <col min="7426" max="7426" width="4.28515625" style="314" customWidth="1"/>
    <col min="7427" max="7427" width="13.5703125" style="314" customWidth="1"/>
    <col min="7428" max="7428" width="65" style="314" customWidth="1"/>
    <col min="7429" max="7429" width="6.7109375" style="314" customWidth="1"/>
    <col min="7430" max="7430" width="8.42578125" style="314" customWidth="1"/>
    <col min="7431" max="7431" width="10" style="314" customWidth="1"/>
    <col min="7432" max="7432" width="15.7109375" style="314" customWidth="1"/>
    <col min="7433" max="7433" width="17" style="314" customWidth="1"/>
    <col min="7434" max="7434" width="13.28515625" style="314" customWidth="1"/>
    <col min="7435" max="7435" width="11.5703125" style="314" customWidth="1"/>
    <col min="7436" max="7680" width="9" style="314"/>
    <col min="7681" max="7681" width="4.140625" style="314" customWidth="1"/>
    <col min="7682" max="7682" width="4.28515625" style="314" customWidth="1"/>
    <col min="7683" max="7683" width="13.5703125" style="314" customWidth="1"/>
    <col min="7684" max="7684" width="65" style="314" customWidth="1"/>
    <col min="7685" max="7685" width="6.7109375" style="314" customWidth="1"/>
    <col min="7686" max="7686" width="8.42578125" style="314" customWidth="1"/>
    <col min="7687" max="7687" width="10" style="314" customWidth="1"/>
    <col min="7688" max="7688" width="15.7109375" style="314" customWidth="1"/>
    <col min="7689" max="7689" width="17" style="314" customWidth="1"/>
    <col min="7690" max="7690" width="13.28515625" style="314" customWidth="1"/>
    <col min="7691" max="7691" width="11.5703125" style="314" customWidth="1"/>
    <col min="7692" max="7936" width="9" style="314"/>
    <col min="7937" max="7937" width="4.140625" style="314" customWidth="1"/>
    <col min="7938" max="7938" width="4.28515625" style="314" customWidth="1"/>
    <col min="7939" max="7939" width="13.5703125" style="314" customWidth="1"/>
    <col min="7940" max="7940" width="65" style="314" customWidth="1"/>
    <col min="7941" max="7941" width="6.7109375" style="314" customWidth="1"/>
    <col min="7942" max="7942" width="8.42578125" style="314" customWidth="1"/>
    <col min="7943" max="7943" width="10" style="314" customWidth="1"/>
    <col min="7944" max="7944" width="15.7109375" style="314" customWidth="1"/>
    <col min="7945" max="7945" width="17" style="314" customWidth="1"/>
    <col min="7946" max="7946" width="13.28515625" style="314" customWidth="1"/>
    <col min="7947" max="7947" width="11.5703125" style="314" customWidth="1"/>
    <col min="7948" max="8192" width="9" style="314"/>
    <col min="8193" max="8193" width="4.140625" style="314" customWidth="1"/>
    <col min="8194" max="8194" width="4.28515625" style="314" customWidth="1"/>
    <col min="8195" max="8195" width="13.5703125" style="314" customWidth="1"/>
    <col min="8196" max="8196" width="65" style="314" customWidth="1"/>
    <col min="8197" max="8197" width="6.7109375" style="314" customWidth="1"/>
    <col min="8198" max="8198" width="8.42578125" style="314" customWidth="1"/>
    <col min="8199" max="8199" width="10" style="314" customWidth="1"/>
    <col min="8200" max="8200" width="15.7109375" style="314" customWidth="1"/>
    <col min="8201" max="8201" width="17" style="314" customWidth="1"/>
    <col min="8202" max="8202" width="13.28515625" style="314" customWidth="1"/>
    <col min="8203" max="8203" width="11.5703125" style="314" customWidth="1"/>
    <col min="8204" max="8448" width="9" style="314"/>
    <col min="8449" max="8449" width="4.140625" style="314" customWidth="1"/>
    <col min="8450" max="8450" width="4.28515625" style="314" customWidth="1"/>
    <col min="8451" max="8451" width="13.5703125" style="314" customWidth="1"/>
    <col min="8452" max="8452" width="65" style="314" customWidth="1"/>
    <col min="8453" max="8453" width="6.7109375" style="314" customWidth="1"/>
    <col min="8454" max="8454" width="8.42578125" style="314" customWidth="1"/>
    <col min="8455" max="8455" width="10" style="314" customWidth="1"/>
    <col min="8456" max="8456" width="15.7109375" style="314" customWidth="1"/>
    <col min="8457" max="8457" width="17" style="314" customWidth="1"/>
    <col min="8458" max="8458" width="13.28515625" style="314" customWidth="1"/>
    <col min="8459" max="8459" width="11.5703125" style="314" customWidth="1"/>
    <col min="8460" max="8704" width="9" style="314"/>
    <col min="8705" max="8705" width="4.140625" style="314" customWidth="1"/>
    <col min="8706" max="8706" width="4.28515625" style="314" customWidth="1"/>
    <col min="8707" max="8707" width="13.5703125" style="314" customWidth="1"/>
    <col min="8708" max="8708" width="65" style="314" customWidth="1"/>
    <col min="8709" max="8709" width="6.7109375" style="314" customWidth="1"/>
    <col min="8710" max="8710" width="8.42578125" style="314" customWidth="1"/>
    <col min="8711" max="8711" width="10" style="314" customWidth="1"/>
    <col min="8712" max="8712" width="15.7109375" style="314" customWidth="1"/>
    <col min="8713" max="8713" width="17" style="314" customWidth="1"/>
    <col min="8714" max="8714" width="13.28515625" style="314" customWidth="1"/>
    <col min="8715" max="8715" width="11.5703125" style="314" customWidth="1"/>
    <col min="8716" max="8960" width="9" style="314"/>
    <col min="8961" max="8961" width="4.140625" style="314" customWidth="1"/>
    <col min="8962" max="8962" width="4.28515625" style="314" customWidth="1"/>
    <col min="8963" max="8963" width="13.5703125" style="314" customWidth="1"/>
    <col min="8964" max="8964" width="65" style="314" customWidth="1"/>
    <col min="8965" max="8965" width="6.7109375" style="314" customWidth="1"/>
    <col min="8966" max="8966" width="8.42578125" style="314" customWidth="1"/>
    <col min="8967" max="8967" width="10" style="314" customWidth="1"/>
    <col min="8968" max="8968" width="15.7109375" style="314" customWidth="1"/>
    <col min="8969" max="8969" width="17" style="314" customWidth="1"/>
    <col min="8970" max="8970" width="13.28515625" style="314" customWidth="1"/>
    <col min="8971" max="8971" width="11.5703125" style="314" customWidth="1"/>
    <col min="8972" max="9216" width="9" style="314"/>
    <col min="9217" max="9217" width="4.140625" style="314" customWidth="1"/>
    <col min="9218" max="9218" width="4.28515625" style="314" customWidth="1"/>
    <col min="9219" max="9219" width="13.5703125" style="314" customWidth="1"/>
    <col min="9220" max="9220" width="65" style="314" customWidth="1"/>
    <col min="9221" max="9221" width="6.7109375" style="314" customWidth="1"/>
    <col min="9222" max="9222" width="8.42578125" style="314" customWidth="1"/>
    <col min="9223" max="9223" width="10" style="314" customWidth="1"/>
    <col min="9224" max="9224" width="15.7109375" style="314" customWidth="1"/>
    <col min="9225" max="9225" width="17" style="314" customWidth="1"/>
    <col min="9226" max="9226" width="13.28515625" style="314" customWidth="1"/>
    <col min="9227" max="9227" width="11.5703125" style="314" customWidth="1"/>
    <col min="9228" max="9472" width="9" style="314"/>
    <col min="9473" max="9473" width="4.140625" style="314" customWidth="1"/>
    <col min="9474" max="9474" width="4.28515625" style="314" customWidth="1"/>
    <col min="9475" max="9475" width="13.5703125" style="314" customWidth="1"/>
    <col min="9476" max="9476" width="65" style="314" customWidth="1"/>
    <col min="9477" max="9477" width="6.7109375" style="314" customWidth="1"/>
    <col min="9478" max="9478" width="8.42578125" style="314" customWidth="1"/>
    <col min="9479" max="9479" width="10" style="314" customWidth="1"/>
    <col min="9480" max="9480" width="15.7109375" style="314" customWidth="1"/>
    <col min="9481" max="9481" width="17" style="314" customWidth="1"/>
    <col min="9482" max="9482" width="13.28515625" style="314" customWidth="1"/>
    <col min="9483" max="9483" width="11.5703125" style="314" customWidth="1"/>
    <col min="9484" max="9728" width="9" style="314"/>
    <col min="9729" max="9729" width="4.140625" style="314" customWidth="1"/>
    <col min="9730" max="9730" width="4.28515625" style="314" customWidth="1"/>
    <col min="9731" max="9731" width="13.5703125" style="314" customWidth="1"/>
    <col min="9732" max="9732" width="65" style="314" customWidth="1"/>
    <col min="9733" max="9733" width="6.7109375" style="314" customWidth="1"/>
    <col min="9734" max="9734" width="8.42578125" style="314" customWidth="1"/>
    <col min="9735" max="9735" width="10" style="314" customWidth="1"/>
    <col min="9736" max="9736" width="15.7109375" style="314" customWidth="1"/>
    <col min="9737" max="9737" width="17" style="314" customWidth="1"/>
    <col min="9738" max="9738" width="13.28515625" style="314" customWidth="1"/>
    <col min="9739" max="9739" width="11.5703125" style="314" customWidth="1"/>
    <col min="9740" max="9984" width="9" style="314"/>
    <col min="9985" max="9985" width="4.140625" style="314" customWidth="1"/>
    <col min="9986" max="9986" width="4.28515625" style="314" customWidth="1"/>
    <col min="9987" max="9987" width="13.5703125" style="314" customWidth="1"/>
    <col min="9988" max="9988" width="65" style="314" customWidth="1"/>
    <col min="9989" max="9989" width="6.7109375" style="314" customWidth="1"/>
    <col min="9990" max="9990" width="8.42578125" style="314" customWidth="1"/>
    <col min="9991" max="9991" width="10" style="314" customWidth="1"/>
    <col min="9992" max="9992" width="15.7109375" style="314" customWidth="1"/>
    <col min="9993" max="9993" width="17" style="314" customWidth="1"/>
    <col min="9994" max="9994" width="13.28515625" style="314" customWidth="1"/>
    <col min="9995" max="9995" width="11.5703125" style="314" customWidth="1"/>
    <col min="9996" max="10240" width="9" style="314"/>
    <col min="10241" max="10241" width="4.140625" style="314" customWidth="1"/>
    <col min="10242" max="10242" width="4.28515625" style="314" customWidth="1"/>
    <col min="10243" max="10243" width="13.5703125" style="314" customWidth="1"/>
    <col min="10244" max="10244" width="65" style="314" customWidth="1"/>
    <col min="10245" max="10245" width="6.7109375" style="314" customWidth="1"/>
    <col min="10246" max="10246" width="8.42578125" style="314" customWidth="1"/>
    <col min="10247" max="10247" width="10" style="314" customWidth="1"/>
    <col min="10248" max="10248" width="15.7109375" style="314" customWidth="1"/>
    <col min="10249" max="10249" width="17" style="314" customWidth="1"/>
    <col min="10250" max="10250" width="13.28515625" style="314" customWidth="1"/>
    <col min="10251" max="10251" width="11.5703125" style="314" customWidth="1"/>
    <col min="10252" max="10496" width="9" style="314"/>
    <col min="10497" max="10497" width="4.140625" style="314" customWidth="1"/>
    <col min="10498" max="10498" width="4.28515625" style="314" customWidth="1"/>
    <col min="10499" max="10499" width="13.5703125" style="314" customWidth="1"/>
    <col min="10500" max="10500" width="65" style="314" customWidth="1"/>
    <col min="10501" max="10501" width="6.7109375" style="314" customWidth="1"/>
    <col min="10502" max="10502" width="8.42578125" style="314" customWidth="1"/>
    <col min="10503" max="10503" width="10" style="314" customWidth="1"/>
    <col min="10504" max="10504" width="15.7109375" style="314" customWidth="1"/>
    <col min="10505" max="10505" width="17" style="314" customWidth="1"/>
    <col min="10506" max="10506" width="13.28515625" style="314" customWidth="1"/>
    <col min="10507" max="10507" width="11.5703125" style="314" customWidth="1"/>
    <col min="10508" max="10752" width="9" style="314"/>
    <col min="10753" max="10753" width="4.140625" style="314" customWidth="1"/>
    <col min="10754" max="10754" width="4.28515625" style="314" customWidth="1"/>
    <col min="10755" max="10755" width="13.5703125" style="314" customWidth="1"/>
    <col min="10756" max="10756" width="65" style="314" customWidth="1"/>
    <col min="10757" max="10757" width="6.7109375" style="314" customWidth="1"/>
    <col min="10758" max="10758" width="8.42578125" style="314" customWidth="1"/>
    <col min="10759" max="10759" width="10" style="314" customWidth="1"/>
    <col min="10760" max="10760" width="15.7109375" style="314" customWidth="1"/>
    <col min="10761" max="10761" width="17" style="314" customWidth="1"/>
    <col min="10762" max="10762" width="13.28515625" style="314" customWidth="1"/>
    <col min="10763" max="10763" width="11.5703125" style="314" customWidth="1"/>
    <col min="10764" max="11008" width="9" style="314"/>
    <col min="11009" max="11009" width="4.140625" style="314" customWidth="1"/>
    <col min="11010" max="11010" width="4.28515625" style="314" customWidth="1"/>
    <col min="11011" max="11011" width="13.5703125" style="314" customWidth="1"/>
    <col min="11012" max="11012" width="65" style="314" customWidth="1"/>
    <col min="11013" max="11013" width="6.7109375" style="314" customWidth="1"/>
    <col min="11014" max="11014" width="8.42578125" style="314" customWidth="1"/>
    <col min="11015" max="11015" width="10" style="314" customWidth="1"/>
    <col min="11016" max="11016" width="15.7109375" style="314" customWidth="1"/>
    <col min="11017" max="11017" width="17" style="314" customWidth="1"/>
    <col min="11018" max="11018" width="13.28515625" style="314" customWidth="1"/>
    <col min="11019" max="11019" width="11.5703125" style="314" customWidth="1"/>
    <col min="11020" max="11264" width="9" style="314"/>
    <col min="11265" max="11265" width="4.140625" style="314" customWidth="1"/>
    <col min="11266" max="11266" width="4.28515625" style="314" customWidth="1"/>
    <col min="11267" max="11267" width="13.5703125" style="314" customWidth="1"/>
    <col min="11268" max="11268" width="65" style="314" customWidth="1"/>
    <col min="11269" max="11269" width="6.7109375" style="314" customWidth="1"/>
    <col min="11270" max="11270" width="8.42578125" style="314" customWidth="1"/>
    <col min="11271" max="11271" width="10" style="314" customWidth="1"/>
    <col min="11272" max="11272" width="15.7109375" style="314" customWidth="1"/>
    <col min="11273" max="11273" width="17" style="314" customWidth="1"/>
    <col min="11274" max="11274" width="13.28515625" style="314" customWidth="1"/>
    <col min="11275" max="11275" width="11.5703125" style="314" customWidth="1"/>
    <col min="11276" max="11520" width="9" style="314"/>
    <col min="11521" max="11521" width="4.140625" style="314" customWidth="1"/>
    <col min="11522" max="11522" width="4.28515625" style="314" customWidth="1"/>
    <col min="11523" max="11523" width="13.5703125" style="314" customWidth="1"/>
    <col min="11524" max="11524" width="65" style="314" customWidth="1"/>
    <col min="11525" max="11525" width="6.7109375" style="314" customWidth="1"/>
    <col min="11526" max="11526" width="8.42578125" style="314" customWidth="1"/>
    <col min="11527" max="11527" width="10" style="314" customWidth="1"/>
    <col min="11528" max="11528" width="15.7109375" style="314" customWidth="1"/>
    <col min="11529" max="11529" width="17" style="314" customWidth="1"/>
    <col min="11530" max="11530" width="13.28515625" style="314" customWidth="1"/>
    <col min="11531" max="11531" width="11.5703125" style="314" customWidth="1"/>
    <col min="11532" max="11776" width="9" style="314"/>
    <col min="11777" max="11777" width="4.140625" style="314" customWidth="1"/>
    <col min="11778" max="11778" width="4.28515625" style="314" customWidth="1"/>
    <col min="11779" max="11779" width="13.5703125" style="314" customWidth="1"/>
    <col min="11780" max="11780" width="65" style="314" customWidth="1"/>
    <col min="11781" max="11781" width="6.7109375" style="314" customWidth="1"/>
    <col min="11782" max="11782" width="8.42578125" style="314" customWidth="1"/>
    <col min="11783" max="11783" width="10" style="314" customWidth="1"/>
    <col min="11784" max="11784" width="15.7109375" style="314" customWidth="1"/>
    <col min="11785" max="11785" width="17" style="314" customWidth="1"/>
    <col min="11786" max="11786" width="13.28515625" style="314" customWidth="1"/>
    <col min="11787" max="11787" width="11.5703125" style="314" customWidth="1"/>
    <col min="11788" max="12032" width="9" style="314"/>
    <col min="12033" max="12033" width="4.140625" style="314" customWidth="1"/>
    <col min="12034" max="12034" width="4.28515625" style="314" customWidth="1"/>
    <col min="12035" max="12035" width="13.5703125" style="314" customWidth="1"/>
    <col min="12036" max="12036" width="65" style="314" customWidth="1"/>
    <col min="12037" max="12037" width="6.7109375" style="314" customWidth="1"/>
    <col min="12038" max="12038" width="8.42578125" style="314" customWidth="1"/>
    <col min="12039" max="12039" width="10" style="314" customWidth="1"/>
    <col min="12040" max="12040" width="15.7109375" style="314" customWidth="1"/>
    <col min="12041" max="12041" width="17" style="314" customWidth="1"/>
    <col min="12042" max="12042" width="13.28515625" style="314" customWidth="1"/>
    <col min="12043" max="12043" width="11.5703125" style="314" customWidth="1"/>
    <col min="12044" max="12288" width="9" style="314"/>
    <col min="12289" max="12289" width="4.140625" style="314" customWidth="1"/>
    <col min="12290" max="12290" width="4.28515625" style="314" customWidth="1"/>
    <col min="12291" max="12291" width="13.5703125" style="314" customWidth="1"/>
    <col min="12292" max="12292" width="65" style="314" customWidth="1"/>
    <col min="12293" max="12293" width="6.7109375" style="314" customWidth="1"/>
    <col min="12294" max="12294" width="8.42578125" style="314" customWidth="1"/>
    <col min="12295" max="12295" width="10" style="314" customWidth="1"/>
    <col min="12296" max="12296" width="15.7109375" style="314" customWidth="1"/>
    <col min="12297" max="12297" width="17" style="314" customWidth="1"/>
    <col min="12298" max="12298" width="13.28515625" style="314" customWidth="1"/>
    <col min="12299" max="12299" width="11.5703125" style="314" customWidth="1"/>
    <col min="12300" max="12544" width="9" style="314"/>
    <col min="12545" max="12545" width="4.140625" style="314" customWidth="1"/>
    <col min="12546" max="12546" width="4.28515625" style="314" customWidth="1"/>
    <col min="12547" max="12547" width="13.5703125" style="314" customWidth="1"/>
    <col min="12548" max="12548" width="65" style="314" customWidth="1"/>
    <col min="12549" max="12549" width="6.7109375" style="314" customWidth="1"/>
    <col min="12550" max="12550" width="8.42578125" style="314" customWidth="1"/>
    <col min="12551" max="12551" width="10" style="314" customWidth="1"/>
    <col min="12552" max="12552" width="15.7109375" style="314" customWidth="1"/>
    <col min="12553" max="12553" width="17" style="314" customWidth="1"/>
    <col min="12554" max="12554" width="13.28515625" style="314" customWidth="1"/>
    <col min="12555" max="12555" width="11.5703125" style="314" customWidth="1"/>
    <col min="12556" max="12800" width="9" style="314"/>
    <col min="12801" max="12801" width="4.140625" style="314" customWidth="1"/>
    <col min="12802" max="12802" width="4.28515625" style="314" customWidth="1"/>
    <col min="12803" max="12803" width="13.5703125" style="314" customWidth="1"/>
    <col min="12804" max="12804" width="65" style="314" customWidth="1"/>
    <col min="12805" max="12805" width="6.7109375" style="314" customWidth="1"/>
    <col min="12806" max="12806" width="8.42578125" style="314" customWidth="1"/>
    <col min="12807" max="12807" width="10" style="314" customWidth="1"/>
    <col min="12808" max="12808" width="15.7109375" style="314" customWidth="1"/>
    <col min="12809" max="12809" width="17" style="314" customWidth="1"/>
    <col min="12810" max="12810" width="13.28515625" style="314" customWidth="1"/>
    <col min="12811" max="12811" width="11.5703125" style="314" customWidth="1"/>
    <col min="12812" max="13056" width="9" style="314"/>
    <col min="13057" max="13057" width="4.140625" style="314" customWidth="1"/>
    <col min="13058" max="13058" width="4.28515625" style="314" customWidth="1"/>
    <col min="13059" max="13059" width="13.5703125" style="314" customWidth="1"/>
    <col min="13060" max="13060" width="65" style="314" customWidth="1"/>
    <col min="13061" max="13061" width="6.7109375" style="314" customWidth="1"/>
    <col min="13062" max="13062" width="8.42578125" style="314" customWidth="1"/>
    <col min="13063" max="13063" width="10" style="314" customWidth="1"/>
    <col min="13064" max="13064" width="15.7109375" style="314" customWidth="1"/>
    <col min="13065" max="13065" width="17" style="314" customWidth="1"/>
    <col min="13066" max="13066" width="13.28515625" style="314" customWidth="1"/>
    <col min="13067" max="13067" width="11.5703125" style="314" customWidth="1"/>
    <col min="13068" max="13312" width="9" style="314"/>
    <col min="13313" max="13313" width="4.140625" style="314" customWidth="1"/>
    <col min="13314" max="13314" width="4.28515625" style="314" customWidth="1"/>
    <col min="13315" max="13315" width="13.5703125" style="314" customWidth="1"/>
    <col min="13316" max="13316" width="65" style="314" customWidth="1"/>
    <col min="13317" max="13317" width="6.7109375" style="314" customWidth="1"/>
    <col min="13318" max="13318" width="8.42578125" style="314" customWidth="1"/>
    <col min="13319" max="13319" width="10" style="314" customWidth="1"/>
    <col min="13320" max="13320" width="15.7109375" style="314" customWidth="1"/>
    <col min="13321" max="13321" width="17" style="314" customWidth="1"/>
    <col min="13322" max="13322" width="13.28515625" style="314" customWidth="1"/>
    <col min="13323" max="13323" width="11.5703125" style="314" customWidth="1"/>
    <col min="13324" max="13568" width="9" style="314"/>
    <col min="13569" max="13569" width="4.140625" style="314" customWidth="1"/>
    <col min="13570" max="13570" width="4.28515625" style="314" customWidth="1"/>
    <col min="13571" max="13571" width="13.5703125" style="314" customWidth="1"/>
    <col min="13572" max="13572" width="65" style="314" customWidth="1"/>
    <col min="13573" max="13573" width="6.7109375" style="314" customWidth="1"/>
    <col min="13574" max="13574" width="8.42578125" style="314" customWidth="1"/>
    <col min="13575" max="13575" width="10" style="314" customWidth="1"/>
    <col min="13576" max="13576" width="15.7109375" style="314" customWidth="1"/>
    <col min="13577" max="13577" width="17" style="314" customWidth="1"/>
    <col min="13578" max="13578" width="13.28515625" style="314" customWidth="1"/>
    <col min="13579" max="13579" width="11.5703125" style="314" customWidth="1"/>
    <col min="13580" max="13824" width="9" style="314"/>
    <col min="13825" max="13825" width="4.140625" style="314" customWidth="1"/>
    <col min="13826" max="13826" width="4.28515625" style="314" customWidth="1"/>
    <col min="13827" max="13827" width="13.5703125" style="314" customWidth="1"/>
    <col min="13828" max="13828" width="65" style="314" customWidth="1"/>
    <col min="13829" max="13829" width="6.7109375" style="314" customWidth="1"/>
    <col min="13830" max="13830" width="8.42578125" style="314" customWidth="1"/>
    <col min="13831" max="13831" width="10" style="314" customWidth="1"/>
    <col min="13832" max="13832" width="15.7109375" style="314" customWidth="1"/>
    <col min="13833" max="13833" width="17" style="314" customWidth="1"/>
    <col min="13834" max="13834" width="13.28515625" style="314" customWidth="1"/>
    <col min="13835" max="13835" width="11.5703125" style="314" customWidth="1"/>
    <col min="13836" max="14080" width="9" style="314"/>
    <col min="14081" max="14081" width="4.140625" style="314" customWidth="1"/>
    <col min="14082" max="14082" width="4.28515625" style="314" customWidth="1"/>
    <col min="14083" max="14083" width="13.5703125" style="314" customWidth="1"/>
    <col min="14084" max="14084" width="65" style="314" customWidth="1"/>
    <col min="14085" max="14085" width="6.7109375" style="314" customWidth="1"/>
    <col min="14086" max="14086" width="8.42578125" style="314" customWidth="1"/>
    <col min="14087" max="14087" width="10" style="314" customWidth="1"/>
    <col min="14088" max="14088" width="15.7109375" style="314" customWidth="1"/>
    <col min="14089" max="14089" width="17" style="314" customWidth="1"/>
    <col min="14090" max="14090" width="13.28515625" style="314" customWidth="1"/>
    <col min="14091" max="14091" width="11.5703125" style="314" customWidth="1"/>
    <col min="14092" max="14336" width="9" style="314"/>
    <col min="14337" max="14337" width="4.140625" style="314" customWidth="1"/>
    <col min="14338" max="14338" width="4.28515625" style="314" customWidth="1"/>
    <col min="14339" max="14339" width="13.5703125" style="314" customWidth="1"/>
    <col min="14340" max="14340" width="65" style="314" customWidth="1"/>
    <col min="14341" max="14341" width="6.7109375" style="314" customWidth="1"/>
    <col min="14342" max="14342" width="8.42578125" style="314" customWidth="1"/>
    <col min="14343" max="14343" width="10" style="314" customWidth="1"/>
    <col min="14344" max="14344" width="15.7109375" style="314" customWidth="1"/>
    <col min="14345" max="14345" width="17" style="314" customWidth="1"/>
    <col min="14346" max="14346" width="13.28515625" style="314" customWidth="1"/>
    <col min="14347" max="14347" width="11.5703125" style="314" customWidth="1"/>
    <col min="14348" max="14592" width="9" style="314"/>
    <col min="14593" max="14593" width="4.140625" style="314" customWidth="1"/>
    <col min="14594" max="14594" width="4.28515625" style="314" customWidth="1"/>
    <col min="14595" max="14595" width="13.5703125" style="314" customWidth="1"/>
    <col min="14596" max="14596" width="65" style="314" customWidth="1"/>
    <col min="14597" max="14597" width="6.7109375" style="314" customWidth="1"/>
    <col min="14598" max="14598" width="8.42578125" style="314" customWidth="1"/>
    <col min="14599" max="14599" width="10" style="314" customWidth="1"/>
    <col min="14600" max="14600" width="15.7109375" style="314" customWidth="1"/>
    <col min="14601" max="14601" width="17" style="314" customWidth="1"/>
    <col min="14602" max="14602" width="13.28515625" style="314" customWidth="1"/>
    <col min="14603" max="14603" width="11.5703125" style="314" customWidth="1"/>
    <col min="14604" max="14848" width="9" style="314"/>
    <col min="14849" max="14849" width="4.140625" style="314" customWidth="1"/>
    <col min="14850" max="14850" width="4.28515625" style="314" customWidth="1"/>
    <col min="14851" max="14851" width="13.5703125" style="314" customWidth="1"/>
    <col min="14852" max="14852" width="65" style="314" customWidth="1"/>
    <col min="14853" max="14853" width="6.7109375" style="314" customWidth="1"/>
    <col min="14854" max="14854" width="8.42578125" style="314" customWidth="1"/>
    <col min="14855" max="14855" width="10" style="314" customWidth="1"/>
    <col min="14856" max="14856" width="15.7109375" style="314" customWidth="1"/>
    <col min="14857" max="14857" width="17" style="314" customWidth="1"/>
    <col min="14858" max="14858" width="13.28515625" style="314" customWidth="1"/>
    <col min="14859" max="14859" width="11.5703125" style="314" customWidth="1"/>
    <col min="14860" max="15104" width="9" style="314"/>
    <col min="15105" max="15105" width="4.140625" style="314" customWidth="1"/>
    <col min="15106" max="15106" width="4.28515625" style="314" customWidth="1"/>
    <col min="15107" max="15107" width="13.5703125" style="314" customWidth="1"/>
    <col min="15108" max="15108" width="65" style="314" customWidth="1"/>
    <col min="15109" max="15109" width="6.7109375" style="314" customWidth="1"/>
    <col min="15110" max="15110" width="8.42578125" style="314" customWidth="1"/>
    <col min="15111" max="15111" width="10" style="314" customWidth="1"/>
    <col min="15112" max="15112" width="15.7109375" style="314" customWidth="1"/>
    <col min="15113" max="15113" width="17" style="314" customWidth="1"/>
    <col min="15114" max="15114" width="13.28515625" style="314" customWidth="1"/>
    <col min="15115" max="15115" width="11.5703125" style="314" customWidth="1"/>
    <col min="15116" max="15360" width="9" style="314"/>
    <col min="15361" max="15361" width="4.140625" style="314" customWidth="1"/>
    <col min="15362" max="15362" width="4.28515625" style="314" customWidth="1"/>
    <col min="15363" max="15363" width="13.5703125" style="314" customWidth="1"/>
    <col min="15364" max="15364" width="65" style="314" customWidth="1"/>
    <col min="15365" max="15365" width="6.7109375" style="314" customWidth="1"/>
    <col min="15366" max="15366" width="8.42578125" style="314" customWidth="1"/>
    <col min="15367" max="15367" width="10" style="314" customWidth="1"/>
    <col min="15368" max="15368" width="15.7109375" style="314" customWidth="1"/>
    <col min="15369" max="15369" width="17" style="314" customWidth="1"/>
    <col min="15370" max="15370" width="13.28515625" style="314" customWidth="1"/>
    <col min="15371" max="15371" width="11.5703125" style="314" customWidth="1"/>
    <col min="15372" max="15616" width="9" style="314"/>
    <col min="15617" max="15617" width="4.140625" style="314" customWidth="1"/>
    <col min="15618" max="15618" width="4.28515625" style="314" customWidth="1"/>
    <col min="15619" max="15619" width="13.5703125" style="314" customWidth="1"/>
    <col min="15620" max="15620" width="65" style="314" customWidth="1"/>
    <col min="15621" max="15621" width="6.7109375" style="314" customWidth="1"/>
    <col min="15622" max="15622" width="8.42578125" style="314" customWidth="1"/>
    <col min="15623" max="15623" width="10" style="314" customWidth="1"/>
    <col min="15624" max="15624" width="15.7109375" style="314" customWidth="1"/>
    <col min="15625" max="15625" width="17" style="314" customWidth="1"/>
    <col min="15626" max="15626" width="13.28515625" style="314" customWidth="1"/>
    <col min="15627" max="15627" width="11.5703125" style="314" customWidth="1"/>
    <col min="15628" max="15872" width="9" style="314"/>
    <col min="15873" max="15873" width="4.140625" style="314" customWidth="1"/>
    <col min="15874" max="15874" width="4.28515625" style="314" customWidth="1"/>
    <col min="15875" max="15875" width="13.5703125" style="314" customWidth="1"/>
    <col min="15876" max="15876" width="65" style="314" customWidth="1"/>
    <col min="15877" max="15877" width="6.7109375" style="314" customWidth="1"/>
    <col min="15878" max="15878" width="8.42578125" style="314" customWidth="1"/>
    <col min="15879" max="15879" width="10" style="314" customWidth="1"/>
    <col min="15880" max="15880" width="15.7109375" style="314" customWidth="1"/>
    <col min="15881" max="15881" width="17" style="314" customWidth="1"/>
    <col min="15882" max="15882" width="13.28515625" style="314" customWidth="1"/>
    <col min="15883" max="15883" width="11.5703125" style="314" customWidth="1"/>
    <col min="15884" max="16128" width="9" style="314"/>
    <col min="16129" max="16129" width="4.140625" style="314" customWidth="1"/>
    <col min="16130" max="16130" width="4.28515625" style="314" customWidth="1"/>
    <col min="16131" max="16131" width="13.5703125" style="314" customWidth="1"/>
    <col min="16132" max="16132" width="65" style="314" customWidth="1"/>
    <col min="16133" max="16133" width="6.7109375" style="314" customWidth="1"/>
    <col min="16134" max="16134" width="8.42578125" style="314" customWidth="1"/>
    <col min="16135" max="16135" width="10" style="314" customWidth="1"/>
    <col min="16136" max="16136" width="15.7109375" style="314" customWidth="1"/>
    <col min="16137" max="16137" width="17" style="314" customWidth="1"/>
    <col min="16138" max="16138" width="13.28515625" style="314" customWidth="1"/>
    <col min="16139" max="16139" width="11.5703125" style="314" customWidth="1"/>
    <col min="16140" max="16384" width="9" style="314"/>
  </cols>
  <sheetData>
    <row r="1" spans="1:256" ht="20.25" customHeight="1">
      <c r="A1" s="120" t="s">
        <v>839</v>
      </c>
      <c r="B1" s="121"/>
      <c r="C1" s="121"/>
      <c r="D1" s="121"/>
      <c r="E1" s="121"/>
      <c r="F1" s="121"/>
      <c r="G1" s="121"/>
      <c r="H1" s="121"/>
      <c r="J1" s="812"/>
    </row>
    <row r="2" spans="1:256" ht="13.5" customHeight="1">
      <c r="A2" s="142" t="s">
        <v>731</v>
      </c>
      <c r="B2" s="315"/>
      <c r="C2" s="315"/>
      <c r="D2" s="315"/>
      <c r="E2" s="122"/>
      <c r="F2" s="122"/>
      <c r="G2" s="121"/>
      <c r="H2" s="121"/>
    </row>
    <row r="3" spans="1:256" ht="12.75" customHeight="1">
      <c r="A3" s="142" t="s">
        <v>328</v>
      </c>
      <c r="B3" s="315"/>
      <c r="C3" s="315"/>
      <c r="D3" s="315"/>
      <c r="E3" s="122"/>
      <c r="F3" s="122"/>
      <c r="G3" s="121"/>
      <c r="H3" s="121"/>
    </row>
    <row r="4" spans="1:256" ht="12.75" customHeight="1">
      <c r="A4" s="123" t="s">
        <v>206</v>
      </c>
      <c r="B4" s="512"/>
      <c r="C4" s="512"/>
      <c r="D4" s="512"/>
      <c r="E4" s="122"/>
      <c r="F4" s="122"/>
      <c r="G4" s="121"/>
      <c r="H4" s="121"/>
      <c r="J4" s="813"/>
      <c r="S4" s="365"/>
    </row>
    <row r="5" spans="1:256" ht="12.75" customHeight="1">
      <c r="A5" s="122" t="s">
        <v>167</v>
      </c>
      <c r="B5" s="122"/>
      <c r="C5" s="122"/>
      <c r="D5" s="122"/>
      <c r="E5" s="122"/>
      <c r="F5" s="122"/>
      <c r="G5" s="121"/>
      <c r="H5" s="121"/>
      <c r="J5" s="813"/>
      <c r="S5" s="365"/>
    </row>
    <row r="6" spans="1:256" ht="12.75" customHeight="1">
      <c r="A6" s="122"/>
      <c r="B6" s="122"/>
      <c r="C6" s="122"/>
      <c r="D6" s="122"/>
      <c r="E6" s="122"/>
      <c r="F6" s="122"/>
      <c r="G6" s="121"/>
      <c r="H6" s="121"/>
    </row>
    <row r="7" spans="1:256" ht="24.75" customHeight="1">
      <c r="A7" s="124" t="s">
        <v>71</v>
      </c>
      <c r="B7" s="124" t="s">
        <v>72</v>
      </c>
      <c r="C7" s="124" t="s">
        <v>73</v>
      </c>
      <c r="D7" s="124" t="s">
        <v>74</v>
      </c>
      <c r="E7" s="124" t="s">
        <v>75</v>
      </c>
      <c r="F7" s="124" t="s">
        <v>76</v>
      </c>
      <c r="G7" s="124" t="s">
        <v>77</v>
      </c>
      <c r="H7" s="124" t="s">
        <v>16</v>
      </c>
      <c r="I7" s="124" t="s">
        <v>30</v>
      </c>
    </row>
    <row r="8" spans="1:256" ht="12.75" customHeight="1">
      <c r="A8" s="124" t="s">
        <v>78</v>
      </c>
      <c r="B8" s="124" t="s">
        <v>79</v>
      </c>
      <c r="C8" s="124" t="s">
        <v>80</v>
      </c>
      <c r="D8" s="124" t="s">
        <v>81</v>
      </c>
      <c r="E8" s="124" t="s">
        <v>82</v>
      </c>
      <c r="F8" s="124" t="s">
        <v>83</v>
      </c>
      <c r="G8" s="124" t="s">
        <v>84</v>
      </c>
      <c r="H8" s="124">
        <v>8</v>
      </c>
      <c r="I8" s="124">
        <v>9</v>
      </c>
    </row>
    <row r="9" spans="1:256" ht="21" customHeight="1">
      <c r="A9" s="814"/>
      <c r="B9" s="815"/>
      <c r="C9" s="815" t="s">
        <v>93</v>
      </c>
      <c r="D9" s="815" t="s">
        <v>94</v>
      </c>
      <c r="E9" s="815"/>
      <c r="F9" s="816"/>
      <c r="G9" s="817"/>
      <c r="H9" s="817">
        <f>H10+H57+H68+H92</f>
        <v>0</v>
      </c>
      <c r="J9" s="818"/>
    </row>
    <row r="10" spans="1:256" ht="13.5" customHeight="1">
      <c r="A10" s="467"/>
      <c r="B10" s="468"/>
      <c r="C10" s="468">
        <v>1</v>
      </c>
      <c r="D10" s="468" t="s">
        <v>95</v>
      </c>
      <c r="E10" s="468"/>
      <c r="F10" s="469"/>
      <c r="G10" s="470"/>
      <c r="H10" s="470">
        <f>SUM(H11:H50)</f>
        <v>0</v>
      </c>
      <c r="I10" s="327"/>
      <c r="J10" s="317"/>
    </row>
    <row r="11" spans="1:256" s="506" customFormat="1" ht="13.5" customHeight="1">
      <c r="A11" s="530">
        <v>1</v>
      </c>
      <c r="B11" s="34">
        <v>221</v>
      </c>
      <c r="C11" s="34">
        <v>113107124</v>
      </c>
      <c r="D11" s="34" t="s">
        <v>266</v>
      </c>
      <c r="E11" s="34" t="s">
        <v>98</v>
      </c>
      <c r="F11" s="531">
        <f>SUM(F12)</f>
        <v>34.75</v>
      </c>
      <c r="G11" s="79"/>
      <c r="H11" s="532">
        <f>F11*G11</f>
        <v>0</v>
      </c>
      <c r="I11" s="819" t="s">
        <v>738</v>
      </c>
      <c r="J11" s="317"/>
      <c r="K11" s="505"/>
      <c r="L11" s="452"/>
      <c r="M11" s="569"/>
      <c r="N11" s="569"/>
      <c r="O11" s="570"/>
      <c r="P11" s="572"/>
      <c r="Q11" s="572"/>
      <c r="R11" s="573"/>
      <c r="S11" s="573"/>
      <c r="T11" s="461"/>
      <c r="U11" s="452"/>
      <c r="V11" s="452"/>
      <c r="W11" s="452"/>
      <c r="X11" s="452"/>
      <c r="Y11" s="452"/>
      <c r="Z11" s="452"/>
      <c r="AA11" s="452"/>
      <c r="AB11" s="452"/>
      <c r="AC11" s="452"/>
      <c r="AD11" s="452"/>
      <c r="AE11" s="452"/>
      <c r="AF11" s="452"/>
      <c r="AG11" s="452"/>
      <c r="AH11" s="452"/>
      <c r="AI11" s="452"/>
      <c r="AJ11" s="452"/>
      <c r="AK11" s="452"/>
      <c r="AL11" s="509"/>
      <c r="AM11" s="509"/>
      <c r="AN11" s="509"/>
      <c r="AO11" s="509"/>
      <c r="AP11" s="509"/>
      <c r="AQ11" s="509"/>
      <c r="AR11" s="509"/>
      <c r="AS11" s="509"/>
      <c r="AT11" s="509"/>
      <c r="AU11" s="509"/>
      <c r="AV11" s="509"/>
      <c r="AW11" s="509"/>
      <c r="AX11" s="509"/>
      <c r="AY11" s="509"/>
      <c r="AZ11" s="509"/>
      <c r="BA11" s="509"/>
      <c r="BB11" s="509"/>
      <c r="BC11" s="509"/>
      <c r="BD11" s="509"/>
      <c r="BE11" s="509"/>
      <c r="BF11" s="509"/>
      <c r="BG11" s="509"/>
      <c r="BH11" s="509"/>
      <c r="BI11" s="509"/>
      <c r="BJ11" s="508"/>
      <c r="BK11" s="508"/>
      <c r="BL11" s="508"/>
      <c r="BM11" s="508"/>
      <c r="BN11" s="508"/>
      <c r="BO11" s="508"/>
      <c r="BP11" s="508"/>
      <c r="BQ11" s="508"/>
      <c r="BR11" s="508"/>
      <c r="BS11" s="508"/>
      <c r="BT11" s="508"/>
      <c r="BU11" s="508"/>
      <c r="BV11" s="508"/>
      <c r="BW11" s="508"/>
      <c r="BX11" s="508"/>
      <c r="BY11" s="508"/>
      <c r="BZ11" s="508"/>
      <c r="CA11" s="508"/>
      <c r="CB11" s="508"/>
      <c r="CC11" s="508"/>
      <c r="CD11" s="508"/>
      <c r="CE11" s="508"/>
      <c r="CF11" s="508"/>
      <c r="CG11" s="508"/>
      <c r="CH11" s="508"/>
      <c r="CI11" s="508"/>
      <c r="CJ11" s="508"/>
      <c r="CK11" s="508"/>
      <c r="CL11" s="508"/>
      <c r="CM11" s="508"/>
      <c r="CN11" s="508"/>
      <c r="CO11" s="508"/>
      <c r="CP11" s="508"/>
      <c r="CQ11" s="508"/>
      <c r="CR11" s="508"/>
      <c r="CS11" s="508"/>
      <c r="CT11" s="508"/>
      <c r="CU11" s="508"/>
      <c r="CV11" s="508"/>
      <c r="CW11" s="508"/>
      <c r="CX11" s="508"/>
      <c r="CY11" s="508"/>
      <c r="CZ11" s="508"/>
      <c r="DA11" s="508"/>
      <c r="DB11" s="508"/>
      <c r="DC11" s="508"/>
      <c r="DD11" s="508"/>
      <c r="DE11" s="508"/>
      <c r="DF11" s="508"/>
      <c r="DG11" s="508"/>
      <c r="DH11" s="508"/>
      <c r="DI11" s="508"/>
      <c r="DJ11" s="508"/>
      <c r="DK11" s="508"/>
      <c r="DL11" s="508"/>
      <c r="DM11" s="508"/>
      <c r="DN11" s="508"/>
      <c r="DO11" s="508"/>
      <c r="DP11" s="508"/>
      <c r="DQ11" s="508"/>
      <c r="DR11" s="508"/>
      <c r="DS11" s="508"/>
      <c r="DT11" s="508"/>
      <c r="DU11" s="508"/>
      <c r="DV11" s="508"/>
      <c r="DW11" s="508"/>
      <c r="DX11" s="508"/>
      <c r="DY11" s="508"/>
      <c r="DZ11" s="508"/>
      <c r="EA11" s="508"/>
      <c r="EB11" s="508"/>
      <c r="EC11" s="508"/>
      <c r="ED11" s="508"/>
      <c r="EE11" s="508"/>
      <c r="EF11" s="508"/>
      <c r="EG11" s="508"/>
      <c r="EH11" s="508"/>
      <c r="EI11" s="508"/>
      <c r="EJ11" s="508"/>
      <c r="EK11" s="508"/>
      <c r="EL11" s="508"/>
      <c r="EM11" s="508"/>
      <c r="EN11" s="508"/>
      <c r="EO11" s="508"/>
      <c r="EP11" s="508"/>
      <c r="EQ11" s="508"/>
      <c r="ER11" s="508"/>
      <c r="ES11" s="508"/>
      <c r="ET11" s="508"/>
      <c r="EU11" s="508"/>
      <c r="EV11" s="508"/>
      <c r="EW11" s="508"/>
      <c r="EX11" s="508"/>
      <c r="EY11" s="508"/>
      <c r="EZ11" s="508"/>
      <c r="FA11" s="508"/>
      <c r="FB11" s="508"/>
      <c r="FC11" s="508"/>
      <c r="FD11" s="508"/>
      <c r="FE11" s="508"/>
      <c r="FF11" s="508"/>
      <c r="FG11" s="508"/>
      <c r="FH11" s="508"/>
      <c r="FI11" s="508"/>
      <c r="FJ11" s="508"/>
      <c r="FK11" s="508"/>
      <c r="FL11" s="508"/>
      <c r="FM11" s="508"/>
      <c r="FN11" s="508"/>
      <c r="FO11" s="508"/>
      <c r="FP11" s="508"/>
      <c r="FQ11" s="508"/>
      <c r="FR11" s="508"/>
      <c r="FS11" s="508"/>
      <c r="FT11" s="508"/>
      <c r="FU11" s="508"/>
      <c r="FV11" s="508"/>
      <c r="FW11" s="508"/>
      <c r="FX11" s="508"/>
      <c r="FY11" s="508"/>
      <c r="FZ11" s="508"/>
      <c r="GA11" s="508"/>
      <c r="GB11" s="508"/>
      <c r="GC11" s="508"/>
      <c r="GD11" s="508"/>
      <c r="GE11" s="508"/>
      <c r="GF11" s="508"/>
      <c r="GG11" s="508"/>
      <c r="GH11" s="508"/>
      <c r="GI11" s="508"/>
      <c r="GJ11" s="508"/>
      <c r="GK11" s="508"/>
      <c r="GL11" s="508"/>
      <c r="GM11" s="508"/>
      <c r="GN11" s="508"/>
      <c r="GO11" s="508"/>
      <c r="GP11" s="508"/>
      <c r="GQ11" s="508"/>
      <c r="GR11" s="508"/>
      <c r="GS11" s="508"/>
      <c r="GT11" s="508"/>
      <c r="GU11" s="508"/>
      <c r="GV11" s="508"/>
      <c r="GW11" s="508"/>
      <c r="GX11" s="508"/>
      <c r="GY11" s="508"/>
      <c r="GZ11" s="508"/>
      <c r="HA11" s="508"/>
      <c r="HB11" s="508"/>
      <c r="HC11" s="508"/>
      <c r="HD11" s="508"/>
      <c r="HE11" s="508"/>
      <c r="HF11" s="508"/>
      <c r="HG11" s="508"/>
      <c r="HH11" s="508"/>
      <c r="HI11" s="508"/>
      <c r="HJ11" s="508"/>
      <c r="HK11" s="508"/>
      <c r="HL11" s="508"/>
      <c r="HM11" s="508"/>
      <c r="HN11" s="508"/>
      <c r="HO11" s="508"/>
      <c r="HP11" s="508"/>
      <c r="HQ11" s="508"/>
      <c r="HR11" s="508"/>
      <c r="HS11" s="508"/>
      <c r="HT11" s="508"/>
      <c r="HU11" s="508"/>
      <c r="HV11" s="508"/>
      <c r="HW11" s="508"/>
      <c r="HX11" s="508"/>
      <c r="HY11" s="508"/>
      <c r="HZ11" s="508"/>
      <c r="IA11" s="508"/>
      <c r="IB11" s="508"/>
      <c r="IC11" s="508"/>
      <c r="ID11" s="508"/>
      <c r="IE11" s="508"/>
      <c r="IF11" s="508"/>
      <c r="IG11" s="508"/>
      <c r="IH11" s="508"/>
      <c r="II11" s="508"/>
      <c r="IJ11" s="508"/>
      <c r="IK11" s="508"/>
      <c r="IL11" s="508"/>
      <c r="IM11" s="508"/>
      <c r="IN11" s="508"/>
      <c r="IO11" s="508"/>
      <c r="IP11" s="508"/>
      <c r="IQ11" s="508"/>
      <c r="IR11" s="508"/>
      <c r="IS11" s="508"/>
      <c r="IT11" s="508"/>
      <c r="IU11" s="508"/>
      <c r="IV11" s="508"/>
    </row>
    <row r="12" spans="1:256" s="506" customFormat="1" ht="27" customHeight="1">
      <c r="A12" s="434"/>
      <c r="B12" s="435"/>
      <c r="C12" s="456"/>
      <c r="D12" s="456" t="s">
        <v>799</v>
      </c>
      <c r="E12" s="456"/>
      <c r="F12" s="548">
        <f>((34.9+2-2.15)*1)</f>
        <v>34.75</v>
      </c>
      <c r="G12" s="448"/>
      <c r="H12" s="448"/>
      <c r="I12" s="549"/>
      <c r="J12" s="317"/>
      <c r="K12" s="505"/>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509"/>
      <c r="AM12" s="509"/>
      <c r="AN12" s="509"/>
      <c r="AO12" s="509"/>
      <c r="AP12" s="509"/>
      <c r="AQ12" s="509"/>
      <c r="AR12" s="509"/>
      <c r="AS12" s="509"/>
      <c r="AT12" s="509"/>
      <c r="AU12" s="509"/>
      <c r="AV12" s="509"/>
      <c r="AW12" s="509"/>
      <c r="AX12" s="509"/>
      <c r="AY12" s="509"/>
      <c r="AZ12" s="509"/>
      <c r="BA12" s="509"/>
      <c r="BB12" s="509"/>
      <c r="BC12" s="509"/>
      <c r="BD12" s="509"/>
      <c r="BE12" s="509"/>
      <c r="BF12" s="509"/>
      <c r="BG12" s="509"/>
      <c r="BH12" s="509"/>
      <c r="BI12" s="509"/>
      <c r="BJ12" s="508"/>
      <c r="BK12" s="508"/>
      <c r="BL12" s="508"/>
      <c r="BM12" s="508"/>
      <c r="BN12" s="508"/>
      <c r="BO12" s="508"/>
      <c r="BP12" s="508"/>
      <c r="BQ12" s="508"/>
      <c r="BR12" s="508"/>
      <c r="BS12" s="508"/>
      <c r="BT12" s="508"/>
      <c r="BU12" s="508"/>
      <c r="BV12" s="508"/>
      <c r="BW12" s="508"/>
      <c r="BX12" s="508"/>
      <c r="BY12" s="508"/>
      <c r="BZ12" s="508"/>
      <c r="CA12" s="508"/>
      <c r="CB12" s="508"/>
      <c r="CC12" s="508"/>
      <c r="CD12" s="508"/>
      <c r="CE12" s="508"/>
      <c r="CF12" s="508"/>
      <c r="CG12" s="508"/>
      <c r="CH12" s="508"/>
      <c r="CI12" s="508"/>
      <c r="CJ12" s="508"/>
      <c r="CK12" s="508"/>
      <c r="CL12" s="508"/>
      <c r="CM12" s="508"/>
      <c r="CN12" s="508"/>
      <c r="CO12" s="508"/>
      <c r="CP12" s="508"/>
      <c r="CQ12" s="508"/>
      <c r="CR12" s="508"/>
      <c r="CS12" s="508"/>
      <c r="CT12" s="508"/>
      <c r="CU12" s="508"/>
      <c r="CV12" s="508"/>
      <c r="CW12" s="508"/>
      <c r="CX12" s="508"/>
      <c r="CY12" s="508"/>
      <c r="CZ12" s="508"/>
      <c r="DA12" s="508"/>
      <c r="DB12" s="508"/>
      <c r="DC12" s="508"/>
      <c r="DD12" s="508"/>
      <c r="DE12" s="508"/>
      <c r="DF12" s="508"/>
      <c r="DG12" s="508"/>
      <c r="DH12" s="508"/>
      <c r="DI12" s="508"/>
      <c r="DJ12" s="508"/>
      <c r="DK12" s="508"/>
      <c r="DL12" s="508"/>
      <c r="DM12" s="508"/>
      <c r="DN12" s="508"/>
      <c r="DO12" s="508"/>
      <c r="DP12" s="508"/>
      <c r="DQ12" s="508"/>
      <c r="DR12" s="508"/>
      <c r="DS12" s="508"/>
      <c r="DT12" s="508"/>
      <c r="DU12" s="508"/>
      <c r="DV12" s="508"/>
      <c r="DW12" s="508"/>
      <c r="DX12" s="508"/>
      <c r="DY12" s="508"/>
      <c r="DZ12" s="508"/>
      <c r="EA12" s="508"/>
      <c r="EB12" s="508"/>
      <c r="EC12" s="508"/>
      <c r="ED12" s="508"/>
      <c r="EE12" s="508"/>
      <c r="EF12" s="508"/>
      <c r="EG12" s="508"/>
      <c r="EH12" s="508"/>
      <c r="EI12" s="508"/>
      <c r="EJ12" s="508"/>
      <c r="EK12" s="508"/>
      <c r="EL12" s="508"/>
      <c r="EM12" s="508"/>
      <c r="EN12" s="508"/>
      <c r="EO12" s="508"/>
      <c r="EP12" s="508"/>
      <c r="EQ12" s="508"/>
      <c r="ER12" s="508"/>
      <c r="ES12" s="508"/>
      <c r="ET12" s="508"/>
      <c r="EU12" s="508"/>
      <c r="EV12" s="508"/>
      <c r="EW12" s="508"/>
      <c r="EX12" s="508"/>
      <c r="EY12" s="508"/>
      <c r="EZ12" s="508"/>
      <c r="FA12" s="508"/>
      <c r="FB12" s="508"/>
      <c r="FC12" s="508"/>
      <c r="FD12" s="508"/>
      <c r="FE12" s="508"/>
      <c r="FF12" s="508"/>
      <c r="FG12" s="508"/>
      <c r="FH12" s="508"/>
      <c r="FI12" s="508"/>
      <c r="FJ12" s="508"/>
      <c r="FK12" s="508"/>
      <c r="FL12" s="508"/>
      <c r="FM12" s="508"/>
      <c r="FN12" s="508"/>
      <c r="FO12" s="508"/>
      <c r="FP12" s="508"/>
      <c r="FQ12" s="508"/>
      <c r="FR12" s="508"/>
      <c r="FS12" s="508"/>
      <c r="FT12" s="508"/>
      <c r="FU12" s="508"/>
      <c r="FV12" s="508"/>
      <c r="FW12" s="508"/>
      <c r="FX12" s="508"/>
      <c r="FY12" s="508"/>
      <c r="FZ12" s="508"/>
      <c r="GA12" s="508"/>
      <c r="GB12" s="508"/>
      <c r="GC12" s="508"/>
      <c r="GD12" s="508"/>
      <c r="GE12" s="508"/>
      <c r="GF12" s="508"/>
      <c r="GG12" s="508"/>
      <c r="GH12" s="508"/>
      <c r="GI12" s="508"/>
      <c r="GJ12" s="508"/>
      <c r="GK12" s="508"/>
      <c r="GL12" s="508"/>
      <c r="GM12" s="508"/>
      <c r="GN12" s="508"/>
      <c r="GO12" s="508"/>
      <c r="GP12" s="508"/>
      <c r="GQ12" s="508"/>
      <c r="GR12" s="508"/>
      <c r="GS12" s="508"/>
      <c r="GT12" s="508"/>
      <c r="GU12" s="508"/>
      <c r="GV12" s="508"/>
      <c r="GW12" s="508"/>
      <c r="GX12" s="508"/>
      <c r="GY12" s="508"/>
      <c r="GZ12" s="508"/>
      <c r="HA12" s="508"/>
      <c r="HB12" s="508"/>
      <c r="HC12" s="508"/>
      <c r="HD12" s="508"/>
      <c r="HE12" s="508"/>
      <c r="HF12" s="508"/>
      <c r="HG12" s="508"/>
      <c r="HH12" s="508"/>
      <c r="HI12" s="508"/>
      <c r="HJ12" s="508"/>
      <c r="HK12" s="508"/>
      <c r="HL12" s="508"/>
      <c r="HM12" s="508"/>
      <c r="HN12" s="508"/>
      <c r="HO12" s="508"/>
      <c r="HP12" s="508"/>
      <c r="HQ12" s="508"/>
      <c r="HR12" s="508"/>
      <c r="HS12" s="508"/>
      <c r="HT12" s="508"/>
      <c r="HU12" s="508"/>
      <c r="HV12" s="508"/>
      <c r="HW12" s="508"/>
      <c r="HX12" s="508"/>
      <c r="HY12" s="508"/>
      <c r="HZ12" s="508"/>
      <c r="IA12" s="508"/>
      <c r="IB12" s="508"/>
      <c r="IC12" s="508"/>
      <c r="ID12" s="508"/>
      <c r="IE12" s="508"/>
      <c r="IF12" s="508"/>
      <c r="IG12" s="508"/>
      <c r="IH12" s="508"/>
      <c r="II12" s="508"/>
      <c r="IJ12" s="508"/>
      <c r="IK12" s="508"/>
      <c r="IL12" s="508"/>
      <c r="IM12" s="508"/>
      <c r="IN12" s="508"/>
      <c r="IO12" s="508"/>
      <c r="IP12" s="508"/>
      <c r="IQ12" s="508"/>
      <c r="IR12" s="508"/>
      <c r="IS12" s="508"/>
      <c r="IT12" s="508"/>
      <c r="IU12" s="508"/>
      <c r="IV12" s="508"/>
    </row>
    <row r="13" spans="1:256" s="506" customFormat="1" ht="27" customHeight="1">
      <c r="A13" s="434"/>
      <c r="B13" s="435"/>
      <c r="C13" s="456"/>
      <c r="D13" s="547" t="s">
        <v>445</v>
      </c>
      <c r="E13" s="456"/>
      <c r="F13" s="548"/>
      <c r="G13" s="448"/>
      <c r="H13" s="448"/>
      <c r="I13" s="549"/>
      <c r="J13" s="820"/>
      <c r="K13" s="821"/>
      <c r="L13" s="82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509"/>
      <c r="AM13" s="509"/>
      <c r="AN13" s="509"/>
      <c r="AO13" s="509"/>
      <c r="AP13" s="509"/>
      <c r="AQ13" s="509"/>
      <c r="AR13" s="509"/>
      <c r="AS13" s="509"/>
      <c r="AT13" s="509"/>
      <c r="AU13" s="509"/>
      <c r="AV13" s="509"/>
      <c r="AW13" s="509"/>
      <c r="AX13" s="509"/>
      <c r="AY13" s="509"/>
      <c r="AZ13" s="509"/>
      <c r="BA13" s="509"/>
      <c r="BB13" s="509"/>
      <c r="BC13" s="509"/>
      <c r="BD13" s="509"/>
      <c r="BE13" s="509"/>
      <c r="BF13" s="509"/>
      <c r="BG13" s="509"/>
      <c r="BH13" s="509"/>
      <c r="BI13" s="509"/>
      <c r="BJ13" s="508"/>
      <c r="BK13" s="508"/>
      <c r="BL13" s="508"/>
      <c r="BM13" s="508"/>
      <c r="BN13" s="508"/>
      <c r="BO13" s="508"/>
      <c r="BP13" s="508"/>
      <c r="BQ13" s="508"/>
      <c r="BR13" s="508"/>
      <c r="BS13" s="508"/>
      <c r="BT13" s="508"/>
      <c r="BU13" s="508"/>
      <c r="BV13" s="508"/>
      <c r="BW13" s="508"/>
      <c r="BX13" s="508"/>
      <c r="BY13" s="508"/>
      <c r="BZ13" s="508"/>
      <c r="CA13" s="508"/>
      <c r="CB13" s="508"/>
      <c r="CC13" s="508"/>
      <c r="CD13" s="508"/>
      <c r="CE13" s="508"/>
      <c r="CF13" s="508"/>
      <c r="CG13" s="508"/>
      <c r="CH13" s="508"/>
      <c r="CI13" s="508"/>
      <c r="CJ13" s="508"/>
      <c r="CK13" s="508"/>
      <c r="CL13" s="508"/>
      <c r="CM13" s="508"/>
      <c r="CN13" s="508"/>
      <c r="CO13" s="508"/>
      <c r="CP13" s="508"/>
      <c r="CQ13" s="508"/>
      <c r="CR13" s="508"/>
      <c r="CS13" s="508"/>
      <c r="CT13" s="508"/>
      <c r="CU13" s="508"/>
      <c r="CV13" s="508"/>
      <c r="CW13" s="508"/>
      <c r="CX13" s="508"/>
      <c r="CY13" s="508"/>
      <c r="CZ13" s="508"/>
      <c r="DA13" s="508"/>
      <c r="DB13" s="508"/>
      <c r="DC13" s="508"/>
      <c r="DD13" s="508"/>
      <c r="DE13" s="508"/>
      <c r="DF13" s="508"/>
      <c r="DG13" s="508"/>
      <c r="DH13" s="508"/>
      <c r="DI13" s="508"/>
      <c r="DJ13" s="508"/>
      <c r="DK13" s="508"/>
      <c r="DL13" s="508"/>
      <c r="DM13" s="508"/>
      <c r="DN13" s="508"/>
      <c r="DO13" s="508"/>
      <c r="DP13" s="508"/>
      <c r="DQ13" s="508"/>
      <c r="DR13" s="508"/>
      <c r="DS13" s="508"/>
      <c r="DT13" s="508"/>
      <c r="DU13" s="508"/>
      <c r="DV13" s="508"/>
      <c r="DW13" s="508"/>
      <c r="DX13" s="508"/>
      <c r="DY13" s="508"/>
      <c r="DZ13" s="508"/>
      <c r="EA13" s="508"/>
      <c r="EB13" s="508"/>
      <c r="EC13" s="508"/>
      <c r="ED13" s="508"/>
      <c r="EE13" s="508"/>
      <c r="EF13" s="508"/>
      <c r="EG13" s="508"/>
      <c r="EH13" s="508"/>
      <c r="EI13" s="508"/>
      <c r="EJ13" s="508"/>
      <c r="EK13" s="508"/>
      <c r="EL13" s="508"/>
      <c r="EM13" s="508"/>
      <c r="EN13" s="508"/>
      <c r="EO13" s="508"/>
      <c r="EP13" s="508"/>
      <c r="EQ13" s="508"/>
      <c r="ER13" s="508"/>
      <c r="ES13" s="508"/>
      <c r="ET13" s="508"/>
      <c r="EU13" s="508"/>
      <c r="EV13" s="508"/>
      <c r="EW13" s="508"/>
      <c r="EX13" s="508"/>
      <c r="EY13" s="508"/>
      <c r="EZ13" s="508"/>
      <c r="FA13" s="508"/>
      <c r="FB13" s="508"/>
      <c r="FC13" s="508"/>
      <c r="FD13" s="508"/>
      <c r="FE13" s="508"/>
      <c r="FF13" s="508"/>
      <c r="FG13" s="508"/>
      <c r="FH13" s="508"/>
      <c r="FI13" s="508"/>
      <c r="FJ13" s="508"/>
      <c r="FK13" s="508"/>
      <c r="FL13" s="508"/>
      <c r="FM13" s="508"/>
      <c r="FN13" s="508"/>
      <c r="FO13" s="508"/>
      <c r="FP13" s="508"/>
      <c r="FQ13" s="508"/>
      <c r="FR13" s="508"/>
      <c r="FS13" s="508"/>
      <c r="FT13" s="508"/>
      <c r="FU13" s="508"/>
      <c r="FV13" s="508"/>
      <c r="FW13" s="508"/>
      <c r="FX13" s="508"/>
      <c r="FY13" s="508"/>
      <c r="FZ13" s="508"/>
      <c r="GA13" s="508"/>
      <c r="GB13" s="508"/>
      <c r="GC13" s="508"/>
      <c r="GD13" s="508"/>
      <c r="GE13" s="508"/>
      <c r="GF13" s="508"/>
      <c r="GG13" s="508"/>
      <c r="GH13" s="508"/>
      <c r="GI13" s="508"/>
      <c r="GJ13" s="508"/>
      <c r="GK13" s="508"/>
      <c r="GL13" s="508"/>
      <c r="GM13" s="508"/>
      <c r="GN13" s="508"/>
      <c r="GO13" s="508"/>
      <c r="GP13" s="508"/>
      <c r="GQ13" s="508"/>
      <c r="GR13" s="508"/>
      <c r="GS13" s="508"/>
      <c r="GT13" s="508"/>
      <c r="GU13" s="508"/>
      <c r="GV13" s="508"/>
      <c r="GW13" s="508"/>
      <c r="GX13" s="508"/>
      <c r="GY13" s="508"/>
      <c r="GZ13" s="508"/>
      <c r="HA13" s="508"/>
      <c r="HB13" s="508"/>
      <c r="HC13" s="508"/>
      <c r="HD13" s="508"/>
      <c r="HE13" s="508"/>
      <c r="HF13" s="508"/>
      <c r="HG13" s="508"/>
      <c r="HH13" s="508"/>
      <c r="HI13" s="508"/>
      <c r="HJ13" s="508"/>
      <c r="HK13" s="508"/>
      <c r="HL13" s="508"/>
      <c r="HM13" s="508"/>
      <c r="HN13" s="508"/>
      <c r="HO13" s="508"/>
      <c r="HP13" s="508"/>
      <c r="HQ13" s="508"/>
      <c r="HR13" s="508"/>
      <c r="HS13" s="508"/>
      <c r="HT13" s="508"/>
      <c r="HU13" s="508"/>
      <c r="HV13" s="508"/>
      <c r="HW13" s="508"/>
      <c r="HX13" s="508"/>
      <c r="HY13" s="508"/>
      <c r="HZ13" s="508"/>
      <c r="IA13" s="508"/>
      <c r="IB13" s="508"/>
      <c r="IC13" s="508"/>
      <c r="ID13" s="508"/>
      <c r="IE13" s="508"/>
      <c r="IF13" s="508"/>
      <c r="IG13" s="508"/>
      <c r="IH13" s="508"/>
      <c r="II13" s="508"/>
      <c r="IJ13" s="508"/>
      <c r="IK13" s="508"/>
      <c r="IL13" s="508"/>
      <c r="IM13" s="508"/>
      <c r="IN13" s="508"/>
      <c r="IO13" s="508"/>
      <c r="IP13" s="508"/>
      <c r="IQ13" s="508"/>
      <c r="IR13" s="508"/>
      <c r="IS13" s="508"/>
      <c r="IT13" s="508"/>
      <c r="IU13" s="508"/>
      <c r="IV13" s="508"/>
    </row>
    <row r="14" spans="1:256" s="506" customFormat="1" ht="13.5" customHeight="1">
      <c r="A14" s="530">
        <v>2</v>
      </c>
      <c r="B14" s="34">
        <v>221</v>
      </c>
      <c r="C14" s="34">
        <v>113107144</v>
      </c>
      <c r="D14" s="34" t="s">
        <v>211</v>
      </c>
      <c r="E14" s="34" t="s">
        <v>98</v>
      </c>
      <c r="F14" s="531">
        <f>SUM(F15:F15)</f>
        <v>34.75</v>
      </c>
      <c r="G14" s="79"/>
      <c r="H14" s="532">
        <f>F14*G14</f>
        <v>0</v>
      </c>
      <c r="I14" s="819" t="s">
        <v>738</v>
      </c>
      <c r="J14" s="317"/>
      <c r="K14" s="551"/>
      <c r="L14" s="452"/>
      <c r="M14" s="452"/>
      <c r="N14" s="452"/>
      <c r="O14" s="452"/>
      <c r="P14" s="452"/>
      <c r="Q14" s="452"/>
      <c r="R14" s="452"/>
      <c r="S14" s="452"/>
      <c r="T14" s="452"/>
      <c r="U14" s="452"/>
      <c r="V14" s="452"/>
      <c r="W14" s="452"/>
      <c r="X14" s="452"/>
      <c r="Y14" s="452"/>
      <c r="Z14" s="452"/>
      <c r="AA14" s="452"/>
      <c r="AB14" s="452"/>
      <c r="AC14" s="452"/>
      <c r="AD14" s="452"/>
      <c r="AE14" s="452"/>
      <c r="AF14" s="452"/>
      <c r="AG14" s="452"/>
      <c r="AH14" s="452"/>
      <c r="AI14" s="452"/>
      <c r="AJ14" s="452"/>
      <c r="AK14" s="452"/>
      <c r="AL14" s="509"/>
      <c r="AM14" s="509"/>
      <c r="AN14" s="509"/>
      <c r="AO14" s="509"/>
      <c r="AP14" s="509"/>
      <c r="AQ14" s="509"/>
      <c r="AR14" s="509"/>
      <c r="AS14" s="509"/>
      <c r="AT14" s="509"/>
      <c r="AU14" s="509"/>
      <c r="AV14" s="509"/>
      <c r="AW14" s="509"/>
      <c r="AX14" s="509"/>
      <c r="AY14" s="509"/>
      <c r="AZ14" s="509"/>
      <c r="BA14" s="509"/>
      <c r="BB14" s="509"/>
      <c r="BC14" s="509"/>
      <c r="BD14" s="509"/>
      <c r="BE14" s="509"/>
      <c r="BF14" s="509"/>
      <c r="BG14" s="509"/>
      <c r="BH14" s="509"/>
      <c r="BI14" s="509"/>
      <c r="BJ14" s="508"/>
      <c r="BK14" s="508"/>
      <c r="BL14" s="508"/>
      <c r="BM14" s="508"/>
      <c r="BN14" s="508"/>
      <c r="BO14" s="508"/>
      <c r="BP14" s="508"/>
      <c r="BQ14" s="508"/>
      <c r="BR14" s="508"/>
      <c r="BS14" s="508"/>
      <c r="BT14" s="508"/>
      <c r="BU14" s="508"/>
      <c r="BV14" s="508"/>
      <c r="BW14" s="508"/>
      <c r="BX14" s="508"/>
      <c r="BY14" s="508"/>
      <c r="BZ14" s="508"/>
      <c r="CA14" s="508"/>
      <c r="CB14" s="508"/>
      <c r="CC14" s="508"/>
      <c r="CD14" s="508"/>
      <c r="CE14" s="508"/>
      <c r="CF14" s="508"/>
      <c r="CG14" s="508"/>
      <c r="CH14" s="508"/>
      <c r="CI14" s="508"/>
      <c r="CJ14" s="508"/>
      <c r="CK14" s="508"/>
      <c r="CL14" s="508"/>
      <c r="CM14" s="508"/>
      <c r="CN14" s="508"/>
      <c r="CO14" s="508"/>
      <c r="CP14" s="508"/>
      <c r="CQ14" s="508"/>
      <c r="CR14" s="508"/>
      <c r="CS14" s="508"/>
      <c r="CT14" s="508"/>
      <c r="CU14" s="508"/>
      <c r="CV14" s="508"/>
      <c r="CW14" s="508"/>
      <c r="CX14" s="508"/>
      <c r="CY14" s="508"/>
      <c r="CZ14" s="508"/>
      <c r="DA14" s="508"/>
      <c r="DB14" s="508"/>
      <c r="DC14" s="508"/>
      <c r="DD14" s="508"/>
      <c r="DE14" s="508"/>
      <c r="DF14" s="508"/>
      <c r="DG14" s="508"/>
      <c r="DH14" s="508"/>
      <c r="DI14" s="508"/>
      <c r="DJ14" s="508"/>
      <c r="DK14" s="508"/>
      <c r="DL14" s="508"/>
      <c r="DM14" s="508"/>
      <c r="DN14" s="508"/>
      <c r="DO14" s="508"/>
      <c r="DP14" s="508"/>
      <c r="DQ14" s="508"/>
      <c r="DR14" s="508"/>
      <c r="DS14" s="508"/>
      <c r="DT14" s="508"/>
      <c r="DU14" s="508"/>
      <c r="DV14" s="508"/>
      <c r="DW14" s="508"/>
      <c r="DX14" s="508"/>
      <c r="DY14" s="508"/>
      <c r="DZ14" s="508"/>
      <c r="EA14" s="508"/>
      <c r="EB14" s="508"/>
      <c r="EC14" s="508"/>
      <c r="ED14" s="508"/>
      <c r="EE14" s="508"/>
      <c r="EF14" s="508"/>
      <c r="EG14" s="508"/>
      <c r="EH14" s="508"/>
      <c r="EI14" s="508"/>
      <c r="EJ14" s="508"/>
      <c r="EK14" s="508"/>
      <c r="EL14" s="508"/>
      <c r="EM14" s="508"/>
      <c r="EN14" s="508"/>
      <c r="EO14" s="508"/>
      <c r="EP14" s="508"/>
      <c r="EQ14" s="508"/>
      <c r="ER14" s="508"/>
      <c r="ES14" s="508"/>
      <c r="ET14" s="508"/>
      <c r="EU14" s="508"/>
      <c r="EV14" s="508"/>
      <c r="EW14" s="508"/>
      <c r="EX14" s="508"/>
      <c r="EY14" s="508"/>
      <c r="EZ14" s="508"/>
      <c r="FA14" s="508"/>
      <c r="FB14" s="508"/>
      <c r="FC14" s="508"/>
      <c r="FD14" s="508"/>
      <c r="FE14" s="508"/>
      <c r="FF14" s="508"/>
      <c r="FG14" s="508"/>
      <c r="FH14" s="508"/>
      <c r="FI14" s="508"/>
      <c r="FJ14" s="508"/>
      <c r="FK14" s="508"/>
      <c r="FL14" s="508"/>
      <c r="FM14" s="508"/>
      <c r="FN14" s="508"/>
      <c r="FO14" s="508"/>
      <c r="FP14" s="508"/>
      <c r="FQ14" s="508"/>
      <c r="FR14" s="508"/>
      <c r="FS14" s="508"/>
      <c r="FT14" s="508"/>
      <c r="FU14" s="508"/>
      <c r="FV14" s="508"/>
      <c r="FW14" s="508"/>
      <c r="FX14" s="508"/>
      <c r="FY14" s="508"/>
      <c r="FZ14" s="508"/>
      <c r="GA14" s="508"/>
      <c r="GB14" s="508"/>
      <c r="GC14" s="508"/>
      <c r="GD14" s="508"/>
      <c r="GE14" s="508"/>
      <c r="GF14" s="508"/>
      <c r="GG14" s="508"/>
      <c r="GH14" s="508"/>
      <c r="GI14" s="508"/>
      <c r="GJ14" s="508"/>
      <c r="GK14" s="508"/>
      <c r="GL14" s="508"/>
      <c r="GM14" s="508"/>
      <c r="GN14" s="508"/>
      <c r="GO14" s="508"/>
      <c r="GP14" s="508"/>
      <c r="GQ14" s="508"/>
      <c r="GR14" s="508"/>
      <c r="GS14" s="508"/>
      <c r="GT14" s="508"/>
      <c r="GU14" s="508"/>
      <c r="GV14" s="508"/>
      <c r="GW14" s="508"/>
      <c r="GX14" s="508"/>
      <c r="GY14" s="508"/>
      <c r="GZ14" s="508"/>
      <c r="HA14" s="508"/>
      <c r="HB14" s="508"/>
      <c r="HC14" s="508"/>
      <c r="HD14" s="508"/>
      <c r="HE14" s="508"/>
      <c r="HF14" s="508"/>
      <c r="HG14" s="508"/>
      <c r="HH14" s="508"/>
      <c r="HI14" s="508"/>
      <c r="HJ14" s="508"/>
      <c r="HK14" s="508"/>
      <c r="HL14" s="508"/>
      <c r="HM14" s="508"/>
      <c r="HN14" s="508"/>
      <c r="HO14" s="508"/>
      <c r="HP14" s="508"/>
      <c r="HQ14" s="508"/>
      <c r="HR14" s="508"/>
      <c r="HS14" s="508"/>
      <c r="HT14" s="508"/>
      <c r="HU14" s="508"/>
      <c r="HV14" s="508"/>
      <c r="HW14" s="508"/>
      <c r="HX14" s="508"/>
      <c r="HY14" s="508"/>
      <c r="HZ14" s="508"/>
      <c r="IA14" s="508"/>
      <c r="IB14" s="508"/>
      <c r="IC14" s="508"/>
      <c r="ID14" s="508"/>
      <c r="IE14" s="508"/>
      <c r="IF14" s="508"/>
      <c r="IG14" s="508"/>
      <c r="IH14" s="508"/>
      <c r="II14" s="508"/>
      <c r="IJ14" s="508"/>
      <c r="IK14" s="508"/>
      <c r="IL14" s="508"/>
      <c r="IM14" s="508"/>
      <c r="IN14" s="508"/>
      <c r="IO14" s="508"/>
      <c r="IP14" s="508"/>
      <c r="IQ14" s="508"/>
      <c r="IR14" s="508"/>
      <c r="IS14" s="508"/>
      <c r="IT14" s="508"/>
      <c r="IU14" s="508"/>
      <c r="IV14" s="508"/>
    </row>
    <row r="15" spans="1:256" s="506" customFormat="1" ht="27" customHeight="1">
      <c r="A15" s="434"/>
      <c r="B15" s="435"/>
      <c r="C15" s="456"/>
      <c r="D15" s="547" t="s">
        <v>800</v>
      </c>
      <c r="E15" s="456"/>
      <c r="F15" s="548">
        <f>((34.9+2-2.15)*1)</f>
        <v>34.75</v>
      </c>
      <c r="G15" s="448"/>
      <c r="H15" s="448"/>
      <c r="I15" s="549"/>
      <c r="J15" s="550"/>
      <c r="K15" s="551"/>
      <c r="L15" s="452"/>
      <c r="M15" s="45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509"/>
      <c r="AM15" s="509"/>
      <c r="AN15" s="509"/>
      <c r="AO15" s="509"/>
      <c r="AP15" s="509"/>
      <c r="AQ15" s="509"/>
      <c r="AR15" s="509"/>
      <c r="AS15" s="509"/>
      <c r="AT15" s="509"/>
      <c r="AU15" s="509"/>
      <c r="AV15" s="509"/>
      <c r="AW15" s="509"/>
      <c r="AX15" s="509"/>
      <c r="AY15" s="509"/>
      <c r="AZ15" s="509"/>
      <c r="BA15" s="509"/>
      <c r="BB15" s="509"/>
      <c r="BC15" s="509"/>
      <c r="BD15" s="509"/>
      <c r="BE15" s="509"/>
      <c r="BF15" s="509"/>
      <c r="BG15" s="509"/>
      <c r="BH15" s="509"/>
      <c r="BI15" s="509"/>
      <c r="BJ15" s="508"/>
      <c r="BK15" s="508"/>
      <c r="BL15" s="508"/>
      <c r="BM15" s="508"/>
      <c r="BN15" s="508"/>
      <c r="BO15" s="508"/>
      <c r="BP15" s="508"/>
      <c r="BQ15" s="508"/>
      <c r="BR15" s="508"/>
      <c r="BS15" s="508"/>
      <c r="BT15" s="508"/>
      <c r="BU15" s="508"/>
      <c r="BV15" s="508"/>
      <c r="BW15" s="508"/>
      <c r="BX15" s="508"/>
      <c r="BY15" s="508"/>
      <c r="BZ15" s="508"/>
      <c r="CA15" s="508"/>
      <c r="CB15" s="508"/>
      <c r="CC15" s="508"/>
      <c r="CD15" s="508"/>
      <c r="CE15" s="508"/>
      <c r="CF15" s="508"/>
      <c r="CG15" s="508"/>
      <c r="CH15" s="508"/>
      <c r="CI15" s="508"/>
      <c r="CJ15" s="508"/>
      <c r="CK15" s="508"/>
      <c r="CL15" s="508"/>
      <c r="CM15" s="508"/>
      <c r="CN15" s="508"/>
      <c r="CO15" s="508"/>
      <c r="CP15" s="508"/>
      <c r="CQ15" s="508"/>
      <c r="CR15" s="508"/>
      <c r="CS15" s="508"/>
      <c r="CT15" s="508"/>
      <c r="CU15" s="508"/>
      <c r="CV15" s="508"/>
      <c r="CW15" s="508"/>
      <c r="CX15" s="508"/>
      <c r="CY15" s="508"/>
      <c r="CZ15" s="508"/>
      <c r="DA15" s="508"/>
      <c r="DB15" s="508"/>
      <c r="DC15" s="508"/>
      <c r="DD15" s="508"/>
      <c r="DE15" s="508"/>
      <c r="DF15" s="508"/>
      <c r="DG15" s="508"/>
      <c r="DH15" s="508"/>
      <c r="DI15" s="508"/>
      <c r="DJ15" s="508"/>
      <c r="DK15" s="508"/>
      <c r="DL15" s="508"/>
      <c r="DM15" s="508"/>
      <c r="DN15" s="508"/>
      <c r="DO15" s="508"/>
      <c r="DP15" s="508"/>
      <c r="DQ15" s="508"/>
      <c r="DR15" s="508"/>
      <c r="DS15" s="508"/>
      <c r="DT15" s="508"/>
      <c r="DU15" s="508"/>
      <c r="DV15" s="508"/>
      <c r="DW15" s="508"/>
      <c r="DX15" s="508"/>
      <c r="DY15" s="508"/>
      <c r="DZ15" s="508"/>
      <c r="EA15" s="508"/>
      <c r="EB15" s="508"/>
      <c r="EC15" s="508"/>
      <c r="ED15" s="508"/>
      <c r="EE15" s="508"/>
      <c r="EF15" s="508"/>
      <c r="EG15" s="508"/>
      <c r="EH15" s="508"/>
      <c r="EI15" s="508"/>
      <c r="EJ15" s="508"/>
      <c r="EK15" s="508"/>
      <c r="EL15" s="508"/>
      <c r="EM15" s="508"/>
      <c r="EN15" s="508"/>
      <c r="EO15" s="508"/>
      <c r="EP15" s="508"/>
      <c r="EQ15" s="508"/>
      <c r="ER15" s="508"/>
      <c r="ES15" s="508"/>
      <c r="ET15" s="508"/>
      <c r="EU15" s="508"/>
      <c r="EV15" s="508"/>
      <c r="EW15" s="508"/>
      <c r="EX15" s="508"/>
      <c r="EY15" s="508"/>
      <c r="EZ15" s="508"/>
      <c r="FA15" s="508"/>
      <c r="FB15" s="508"/>
      <c r="FC15" s="508"/>
      <c r="FD15" s="508"/>
      <c r="FE15" s="508"/>
      <c r="FF15" s="508"/>
      <c r="FG15" s="508"/>
      <c r="FH15" s="508"/>
      <c r="FI15" s="508"/>
      <c r="FJ15" s="508"/>
      <c r="FK15" s="508"/>
      <c r="FL15" s="508"/>
      <c r="FM15" s="508"/>
      <c r="FN15" s="508"/>
      <c r="FO15" s="508"/>
      <c r="FP15" s="508"/>
      <c r="FQ15" s="508"/>
      <c r="FR15" s="508"/>
      <c r="FS15" s="508"/>
      <c r="FT15" s="508"/>
      <c r="FU15" s="508"/>
      <c r="FV15" s="508"/>
      <c r="FW15" s="508"/>
      <c r="FX15" s="508"/>
      <c r="FY15" s="508"/>
      <c r="FZ15" s="508"/>
      <c r="GA15" s="508"/>
      <c r="GB15" s="508"/>
      <c r="GC15" s="508"/>
      <c r="GD15" s="508"/>
      <c r="GE15" s="508"/>
      <c r="GF15" s="508"/>
      <c r="GG15" s="508"/>
      <c r="GH15" s="508"/>
      <c r="GI15" s="508"/>
      <c r="GJ15" s="508"/>
      <c r="GK15" s="508"/>
      <c r="GL15" s="508"/>
      <c r="GM15" s="508"/>
      <c r="GN15" s="508"/>
      <c r="GO15" s="508"/>
      <c r="GP15" s="508"/>
      <c r="GQ15" s="508"/>
      <c r="GR15" s="508"/>
      <c r="GS15" s="508"/>
      <c r="GT15" s="508"/>
      <c r="GU15" s="508"/>
      <c r="GV15" s="508"/>
      <c r="GW15" s="508"/>
      <c r="GX15" s="508"/>
      <c r="GY15" s="508"/>
      <c r="GZ15" s="508"/>
      <c r="HA15" s="508"/>
      <c r="HB15" s="508"/>
      <c r="HC15" s="508"/>
      <c r="HD15" s="508"/>
      <c r="HE15" s="508"/>
      <c r="HF15" s="508"/>
      <c r="HG15" s="508"/>
      <c r="HH15" s="508"/>
      <c r="HI15" s="508"/>
      <c r="HJ15" s="508"/>
      <c r="HK15" s="508"/>
      <c r="HL15" s="508"/>
      <c r="HM15" s="508"/>
      <c r="HN15" s="508"/>
      <c r="HO15" s="508"/>
      <c r="HP15" s="508"/>
      <c r="HQ15" s="508"/>
      <c r="HR15" s="508"/>
      <c r="HS15" s="508"/>
      <c r="HT15" s="508"/>
      <c r="HU15" s="508"/>
      <c r="HV15" s="508"/>
      <c r="HW15" s="508"/>
      <c r="HX15" s="508"/>
      <c r="HY15" s="508"/>
      <c r="HZ15" s="508"/>
      <c r="IA15" s="508"/>
      <c r="IB15" s="508"/>
      <c r="IC15" s="508"/>
      <c r="ID15" s="508"/>
      <c r="IE15" s="508"/>
      <c r="IF15" s="508"/>
      <c r="IG15" s="508"/>
      <c r="IH15" s="508"/>
      <c r="II15" s="508"/>
      <c r="IJ15" s="508"/>
      <c r="IK15" s="508"/>
      <c r="IL15" s="508"/>
      <c r="IM15" s="508"/>
      <c r="IN15" s="508"/>
      <c r="IO15" s="508"/>
      <c r="IP15" s="508"/>
      <c r="IQ15" s="508"/>
      <c r="IR15" s="508"/>
      <c r="IS15" s="508"/>
      <c r="IT15" s="508"/>
      <c r="IU15" s="508"/>
      <c r="IV15" s="508"/>
    </row>
    <row r="16" spans="1:256" s="506" customFormat="1" ht="27" customHeight="1">
      <c r="A16" s="434"/>
      <c r="B16" s="435"/>
      <c r="C16" s="456"/>
      <c r="D16" s="547" t="s">
        <v>445</v>
      </c>
      <c r="E16" s="456"/>
      <c r="F16" s="548"/>
      <c r="G16" s="448"/>
      <c r="H16" s="448"/>
      <c r="I16" s="549"/>
      <c r="J16" s="550"/>
      <c r="K16" s="551"/>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509"/>
      <c r="AM16" s="509"/>
      <c r="AN16" s="509"/>
      <c r="AO16" s="509"/>
      <c r="AP16" s="509"/>
      <c r="AQ16" s="509"/>
      <c r="AR16" s="509"/>
      <c r="AS16" s="509"/>
      <c r="AT16" s="509"/>
      <c r="AU16" s="509"/>
      <c r="AV16" s="509"/>
      <c r="AW16" s="509"/>
      <c r="AX16" s="509"/>
      <c r="AY16" s="509"/>
      <c r="AZ16" s="509"/>
      <c r="BA16" s="509"/>
      <c r="BB16" s="509"/>
      <c r="BC16" s="509"/>
      <c r="BD16" s="509"/>
      <c r="BE16" s="509"/>
      <c r="BF16" s="509"/>
      <c r="BG16" s="509"/>
      <c r="BH16" s="509"/>
      <c r="BI16" s="509"/>
      <c r="BJ16" s="508"/>
      <c r="BK16" s="508"/>
      <c r="BL16" s="508"/>
      <c r="BM16" s="508"/>
      <c r="BN16" s="508"/>
      <c r="BO16" s="508"/>
      <c r="BP16" s="508"/>
      <c r="BQ16" s="508"/>
      <c r="BR16" s="508"/>
      <c r="BS16" s="508"/>
      <c r="BT16" s="508"/>
      <c r="BU16" s="508"/>
      <c r="BV16" s="508"/>
      <c r="BW16" s="508"/>
      <c r="BX16" s="508"/>
      <c r="BY16" s="508"/>
      <c r="BZ16" s="508"/>
      <c r="CA16" s="508"/>
      <c r="CB16" s="508"/>
      <c r="CC16" s="508"/>
      <c r="CD16" s="508"/>
      <c r="CE16" s="508"/>
      <c r="CF16" s="508"/>
      <c r="CG16" s="508"/>
      <c r="CH16" s="508"/>
      <c r="CI16" s="508"/>
      <c r="CJ16" s="508"/>
      <c r="CK16" s="508"/>
      <c r="CL16" s="508"/>
      <c r="CM16" s="508"/>
      <c r="CN16" s="508"/>
      <c r="CO16" s="508"/>
      <c r="CP16" s="508"/>
      <c r="CQ16" s="508"/>
      <c r="CR16" s="508"/>
      <c r="CS16" s="508"/>
      <c r="CT16" s="508"/>
      <c r="CU16" s="508"/>
      <c r="CV16" s="508"/>
      <c r="CW16" s="508"/>
      <c r="CX16" s="508"/>
      <c r="CY16" s="508"/>
      <c r="CZ16" s="508"/>
      <c r="DA16" s="508"/>
      <c r="DB16" s="508"/>
      <c r="DC16" s="508"/>
      <c r="DD16" s="508"/>
      <c r="DE16" s="508"/>
      <c r="DF16" s="508"/>
      <c r="DG16" s="508"/>
      <c r="DH16" s="508"/>
      <c r="DI16" s="508"/>
      <c r="DJ16" s="508"/>
      <c r="DK16" s="508"/>
      <c r="DL16" s="508"/>
      <c r="DM16" s="508"/>
      <c r="DN16" s="508"/>
      <c r="DO16" s="508"/>
      <c r="DP16" s="508"/>
      <c r="DQ16" s="508"/>
      <c r="DR16" s="508"/>
      <c r="DS16" s="508"/>
      <c r="DT16" s="508"/>
      <c r="DU16" s="508"/>
      <c r="DV16" s="508"/>
      <c r="DW16" s="508"/>
      <c r="DX16" s="508"/>
      <c r="DY16" s="508"/>
      <c r="DZ16" s="508"/>
      <c r="EA16" s="508"/>
      <c r="EB16" s="508"/>
      <c r="EC16" s="508"/>
      <c r="ED16" s="508"/>
      <c r="EE16" s="508"/>
      <c r="EF16" s="508"/>
      <c r="EG16" s="508"/>
      <c r="EH16" s="508"/>
      <c r="EI16" s="508"/>
      <c r="EJ16" s="508"/>
      <c r="EK16" s="508"/>
      <c r="EL16" s="508"/>
      <c r="EM16" s="508"/>
      <c r="EN16" s="508"/>
      <c r="EO16" s="508"/>
      <c r="EP16" s="508"/>
      <c r="EQ16" s="508"/>
      <c r="ER16" s="508"/>
      <c r="ES16" s="508"/>
      <c r="ET16" s="508"/>
      <c r="EU16" s="508"/>
      <c r="EV16" s="508"/>
      <c r="EW16" s="508"/>
      <c r="EX16" s="508"/>
      <c r="EY16" s="508"/>
      <c r="EZ16" s="508"/>
      <c r="FA16" s="508"/>
      <c r="FB16" s="508"/>
      <c r="FC16" s="508"/>
      <c r="FD16" s="508"/>
      <c r="FE16" s="508"/>
      <c r="FF16" s="508"/>
      <c r="FG16" s="508"/>
      <c r="FH16" s="508"/>
      <c r="FI16" s="508"/>
      <c r="FJ16" s="508"/>
      <c r="FK16" s="508"/>
      <c r="FL16" s="508"/>
      <c r="FM16" s="508"/>
      <c r="FN16" s="508"/>
      <c r="FO16" s="508"/>
      <c r="FP16" s="508"/>
      <c r="FQ16" s="508"/>
      <c r="FR16" s="508"/>
      <c r="FS16" s="508"/>
      <c r="FT16" s="508"/>
      <c r="FU16" s="508"/>
      <c r="FV16" s="508"/>
      <c r="FW16" s="508"/>
      <c r="FX16" s="508"/>
      <c r="FY16" s="508"/>
      <c r="FZ16" s="508"/>
      <c r="GA16" s="508"/>
      <c r="GB16" s="508"/>
      <c r="GC16" s="508"/>
      <c r="GD16" s="508"/>
      <c r="GE16" s="508"/>
      <c r="GF16" s="508"/>
      <c r="GG16" s="508"/>
      <c r="GH16" s="508"/>
      <c r="GI16" s="508"/>
      <c r="GJ16" s="508"/>
      <c r="GK16" s="508"/>
      <c r="GL16" s="508"/>
      <c r="GM16" s="508"/>
      <c r="GN16" s="508"/>
      <c r="GO16" s="508"/>
      <c r="GP16" s="508"/>
      <c r="GQ16" s="508"/>
      <c r="GR16" s="508"/>
      <c r="GS16" s="508"/>
      <c r="GT16" s="508"/>
      <c r="GU16" s="508"/>
      <c r="GV16" s="508"/>
      <c r="GW16" s="508"/>
      <c r="GX16" s="508"/>
      <c r="GY16" s="508"/>
      <c r="GZ16" s="508"/>
      <c r="HA16" s="508"/>
      <c r="HB16" s="508"/>
      <c r="HC16" s="508"/>
      <c r="HD16" s="508"/>
      <c r="HE16" s="508"/>
      <c r="HF16" s="508"/>
      <c r="HG16" s="508"/>
      <c r="HH16" s="508"/>
      <c r="HI16" s="508"/>
      <c r="HJ16" s="508"/>
      <c r="HK16" s="508"/>
      <c r="HL16" s="508"/>
      <c r="HM16" s="508"/>
      <c r="HN16" s="508"/>
      <c r="HO16" s="508"/>
      <c r="HP16" s="508"/>
      <c r="HQ16" s="508"/>
      <c r="HR16" s="508"/>
      <c r="HS16" s="508"/>
      <c r="HT16" s="508"/>
      <c r="HU16" s="508"/>
      <c r="HV16" s="508"/>
      <c r="HW16" s="508"/>
      <c r="HX16" s="508"/>
      <c r="HY16" s="508"/>
      <c r="HZ16" s="508"/>
      <c r="IA16" s="508"/>
      <c r="IB16" s="508"/>
      <c r="IC16" s="508"/>
      <c r="ID16" s="508"/>
      <c r="IE16" s="508"/>
      <c r="IF16" s="508"/>
      <c r="IG16" s="508"/>
      <c r="IH16" s="508"/>
      <c r="II16" s="508"/>
      <c r="IJ16" s="508"/>
      <c r="IK16" s="508"/>
      <c r="IL16" s="508"/>
      <c r="IM16" s="508"/>
      <c r="IN16" s="508"/>
      <c r="IO16" s="508"/>
      <c r="IP16" s="508"/>
      <c r="IQ16" s="508"/>
      <c r="IR16" s="508"/>
      <c r="IS16" s="508"/>
      <c r="IT16" s="508"/>
      <c r="IU16" s="508"/>
      <c r="IV16" s="508"/>
    </row>
    <row r="17" spans="1:256" s="506" customFormat="1" ht="13.5" customHeight="1">
      <c r="A17" s="530">
        <v>3</v>
      </c>
      <c r="B17" s="34" t="s">
        <v>96</v>
      </c>
      <c r="C17" s="34">
        <v>115101201</v>
      </c>
      <c r="D17" s="34" t="s">
        <v>153</v>
      </c>
      <c r="E17" s="34" t="s">
        <v>151</v>
      </c>
      <c r="F17" s="531">
        <v>16</v>
      </c>
      <c r="G17" s="79"/>
      <c r="H17" s="532">
        <f t="shared" ref="H17:H22" si="0">F17*G17</f>
        <v>0</v>
      </c>
      <c r="I17" s="819" t="s">
        <v>738</v>
      </c>
      <c r="J17" s="823"/>
      <c r="K17" s="551"/>
      <c r="L17" s="509"/>
      <c r="M17" s="509"/>
      <c r="N17" s="509"/>
      <c r="O17" s="509"/>
      <c r="P17" s="509"/>
      <c r="Q17" s="509"/>
      <c r="R17" s="509"/>
      <c r="S17" s="509"/>
      <c r="T17" s="509"/>
      <c r="U17" s="509"/>
      <c r="V17" s="509"/>
      <c r="W17" s="509"/>
      <c r="X17" s="509"/>
      <c r="Y17" s="509"/>
      <c r="Z17" s="509"/>
      <c r="AA17" s="509"/>
      <c r="AB17" s="509"/>
      <c r="AC17" s="509"/>
      <c r="AD17" s="509"/>
      <c r="AE17" s="509"/>
      <c r="AF17" s="509"/>
      <c r="AG17" s="509"/>
      <c r="AH17" s="509"/>
      <c r="AI17" s="509"/>
      <c r="AJ17" s="509"/>
      <c r="AK17" s="509"/>
      <c r="AL17" s="509"/>
      <c r="AM17" s="509"/>
      <c r="AN17" s="509"/>
      <c r="AO17" s="509"/>
      <c r="AP17" s="509"/>
      <c r="AQ17" s="509"/>
      <c r="AR17" s="509"/>
      <c r="AS17" s="509"/>
      <c r="AT17" s="509"/>
      <c r="AU17" s="509"/>
      <c r="AV17" s="509"/>
      <c r="AW17" s="509"/>
      <c r="AX17" s="509"/>
      <c r="AY17" s="505"/>
      <c r="AZ17" s="505"/>
      <c r="BA17" s="505"/>
      <c r="BB17" s="505"/>
      <c r="BC17" s="505"/>
      <c r="BD17" s="505"/>
      <c r="BE17" s="505"/>
      <c r="BF17" s="505"/>
      <c r="BG17" s="505"/>
      <c r="BH17" s="505"/>
      <c r="BI17" s="505"/>
    </row>
    <row r="18" spans="1:256" s="506" customFormat="1" ht="13.5" customHeight="1">
      <c r="A18" s="530">
        <v>4</v>
      </c>
      <c r="B18" s="34" t="s">
        <v>96</v>
      </c>
      <c r="C18" s="34">
        <v>115101301</v>
      </c>
      <c r="D18" s="34" t="s">
        <v>154</v>
      </c>
      <c r="E18" s="34" t="s">
        <v>155</v>
      </c>
      <c r="F18" s="531">
        <v>2</v>
      </c>
      <c r="G18" s="79"/>
      <c r="H18" s="532">
        <f t="shared" si="0"/>
        <v>0</v>
      </c>
      <c r="I18" s="819" t="s">
        <v>738</v>
      </c>
      <c r="J18" s="823"/>
      <c r="K18" s="509"/>
      <c r="L18" s="509"/>
      <c r="M18" s="509"/>
      <c r="N18" s="509"/>
      <c r="O18" s="509"/>
      <c r="P18" s="509"/>
      <c r="Q18" s="509"/>
      <c r="R18" s="509"/>
      <c r="S18" s="509"/>
      <c r="T18" s="509"/>
      <c r="U18" s="509"/>
      <c r="V18" s="509"/>
      <c r="W18" s="509"/>
      <c r="X18" s="509"/>
      <c r="Y18" s="509"/>
      <c r="Z18" s="509"/>
      <c r="AA18" s="509"/>
      <c r="AB18" s="509"/>
      <c r="AC18" s="509"/>
      <c r="AD18" s="509"/>
      <c r="AE18" s="509"/>
      <c r="AF18" s="509"/>
      <c r="AG18" s="509"/>
      <c r="AH18" s="509"/>
      <c r="AI18" s="509"/>
      <c r="AJ18" s="509"/>
      <c r="AK18" s="509"/>
      <c r="AL18" s="509"/>
      <c r="AM18" s="509"/>
      <c r="AN18" s="509"/>
      <c r="AO18" s="509"/>
      <c r="AP18" s="509"/>
      <c r="AQ18" s="509"/>
      <c r="AR18" s="509"/>
      <c r="AS18" s="509"/>
      <c r="AT18" s="509"/>
      <c r="AU18" s="509"/>
      <c r="AV18" s="509"/>
      <c r="AW18" s="509"/>
      <c r="AX18" s="509"/>
      <c r="AY18" s="505"/>
      <c r="AZ18" s="505"/>
      <c r="BA18" s="505"/>
      <c r="BB18" s="505"/>
      <c r="BC18" s="505"/>
      <c r="BD18" s="505"/>
      <c r="BE18" s="505"/>
      <c r="BF18" s="505"/>
      <c r="BG18" s="505"/>
      <c r="BH18" s="505"/>
      <c r="BI18" s="505"/>
    </row>
    <row r="19" spans="1:256" s="506" customFormat="1" ht="13.5" customHeight="1">
      <c r="A19" s="530">
        <v>5</v>
      </c>
      <c r="B19" s="34" t="s">
        <v>96</v>
      </c>
      <c r="C19" s="34">
        <v>119001402</v>
      </c>
      <c r="D19" s="34" t="s">
        <v>156</v>
      </c>
      <c r="E19" s="34" t="s">
        <v>115</v>
      </c>
      <c r="F19" s="534">
        <v>1.5</v>
      </c>
      <c r="G19" s="79"/>
      <c r="H19" s="532">
        <f t="shared" si="0"/>
        <v>0</v>
      </c>
      <c r="I19" s="819" t="s">
        <v>738</v>
      </c>
      <c r="J19" s="824"/>
      <c r="K19" s="26"/>
      <c r="L19" s="825"/>
      <c r="M19" s="8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505"/>
      <c r="AZ19" s="505"/>
      <c r="BA19" s="505"/>
      <c r="BB19" s="505"/>
      <c r="BC19" s="505"/>
      <c r="BD19" s="505"/>
      <c r="BE19" s="505"/>
      <c r="BF19" s="505"/>
      <c r="BG19" s="505"/>
      <c r="BH19" s="505"/>
      <c r="BI19" s="505"/>
    </row>
    <row r="20" spans="1:256" s="506" customFormat="1" ht="13.5" customHeight="1">
      <c r="A20" s="530">
        <v>6</v>
      </c>
      <c r="B20" s="34" t="s">
        <v>96</v>
      </c>
      <c r="C20" s="34">
        <v>119001406</v>
      </c>
      <c r="D20" s="34" t="s">
        <v>157</v>
      </c>
      <c r="E20" s="34" t="s">
        <v>115</v>
      </c>
      <c r="F20" s="534">
        <v>1.5</v>
      </c>
      <c r="G20" s="79"/>
      <c r="H20" s="532">
        <f t="shared" si="0"/>
        <v>0</v>
      </c>
      <c r="I20" s="819" t="s">
        <v>738</v>
      </c>
      <c r="J20" s="26"/>
      <c r="K20" s="26"/>
      <c r="L20" s="825"/>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505"/>
      <c r="AZ20" s="505"/>
      <c r="BA20" s="505"/>
      <c r="BB20" s="505"/>
      <c r="BC20" s="505"/>
      <c r="BD20" s="505"/>
      <c r="BE20" s="505"/>
      <c r="BF20" s="505"/>
      <c r="BG20" s="505"/>
      <c r="BH20" s="505"/>
      <c r="BI20" s="505"/>
    </row>
    <row r="21" spans="1:256" s="506" customFormat="1" ht="13.5" customHeight="1">
      <c r="A21" s="530">
        <v>7</v>
      </c>
      <c r="B21" s="34" t="s">
        <v>96</v>
      </c>
      <c r="C21" s="34">
        <v>119001412</v>
      </c>
      <c r="D21" s="34" t="s">
        <v>158</v>
      </c>
      <c r="E21" s="34" t="s">
        <v>115</v>
      </c>
      <c r="F21" s="534">
        <v>1.5</v>
      </c>
      <c r="G21" s="79"/>
      <c r="H21" s="532">
        <f t="shared" si="0"/>
        <v>0</v>
      </c>
      <c r="I21" s="819" t="s">
        <v>738</v>
      </c>
      <c r="J21" s="823"/>
      <c r="K21" s="551"/>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c r="AW21" s="509"/>
      <c r="AX21" s="509"/>
      <c r="AY21" s="505"/>
      <c r="AZ21" s="505"/>
      <c r="BA21" s="505"/>
      <c r="BB21" s="505"/>
      <c r="BC21" s="505"/>
      <c r="BD21" s="505"/>
      <c r="BE21" s="505"/>
      <c r="BF21" s="505"/>
      <c r="BG21" s="505"/>
      <c r="BH21" s="505"/>
      <c r="BI21" s="505"/>
    </row>
    <row r="22" spans="1:256" s="506" customFormat="1" ht="13.5" customHeight="1">
      <c r="A22" s="530">
        <v>8</v>
      </c>
      <c r="B22" s="34" t="s">
        <v>96</v>
      </c>
      <c r="C22" s="34">
        <v>119001422</v>
      </c>
      <c r="D22" s="34" t="s">
        <v>159</v>
      </c>
      <c r="E22" s="34" t="s">
        <v>115</v>
      </c>
      <c r="F22" s="534">
        <v>5</v>
      </c>
      <c r="G22" s="79"/>
      <c r="H22" s="532">
        <f t="shared" si="0"/>
        <v>0</v>
      </c>
      <c r="I22" s="819" t="s">
        <v>738</v>
      </c>
      <c r="J22" s="824"/>
      <c r="K22" s="26"/>
      <c r="L22" s="825"/>
      <c r="M22" s="8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505"/>
      <c r="AZ22" s="505"/>
      <c r="BA22" s="505"/>
      <c r="BB22" s="505"/>
      <c r="BC22" s="505"/>
      <c r="BD22" s="505"/>
      <c r="BE22" s="505"/>
      <c r="BF22" s="505"/>
      <c r="BG22" s="505"/>
      <c r="BH22" s="505"/>
      <c r="BI22" s="505"/>
    </row>
    <row r="23" spans="1:256" s="541" customFormat="1" ht="13.5" customHeight="1">
      <c r="A23" s="535">
        <v>9</v>
      </c>
      <c r="B23" s="536" t="s">
        <v>96</v>
      </c>
      <c r="C23" s="537" t="s">
        <v>578</v>
      </c>
      <c r="D23" s="537" t="s">
        <v>582</v>
      </c>
      <c r="E23" s="537" t="s">
        <v>98</v>
      </c>
      <c r="F23" s="538">
        <f>SUM(F25:F25)</f>
        <v>2.15</v>
      </c>
      <c r="G23" s="90"/>
      <c r="H23" s="539">
        <f>F23*G23</f>
        <v>0</v>
      </c>
      <c r="I23" s="545" t="s">
        <v>740</v>
      </c>
      <c r="J23" s="540"/>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row>
    <row r="24" spans="1:256" s="541" customFormat="1" ht="13.5" customHeight="1">
      <c r="A24" s="535"/>
      <c r="B24" s="537"/>
      <c r="C24" s="537"/>
      <c r="D24" s="542" t="s">
        <v>579</v>
      </c>
      <c r="E24" s="537"/>
      <c r="F24" s="452"/>
      <c r="G24" s="544"/>
      <c r="H24" s="539"/>
      <c r="I24" s="545"/>
      <c r="J24" s="546"/>
      <c r="K24" s="452"/>
      <c r="L24" s="452"/>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452"/>
      <c r="AM24" s="452"/>
      <c r="AN24" s="452"/>
      <c r="AO24" s="452"/>
      <c r="AP24" s="452"/>
      <c r="AQ24" s="452"/>
      <c r="AR24" s="452"/>
      <c r="AS24" s="452"/>
      <c r="AT24" s="452"/>
      <c r="AU24" s="452"/>
      <c r="AV24" s="452"/>
      <c r="AW24" s="452"/>
      <c r="AX24" s="452"/>
      <c r="AY24" s="452"/>
      <c r="AZ24" s="452"/>
      <c r="BA24" s="452"/>
      <c r="BB24" s="452"/>
      <c r="BC24" s="452"/>
      <c r="BD24" s="452"/>
      <c r="BE24" s="452"/>
      <c r="BF24" s="452"/>
      <c r="BG24" s="452"/>
      <c r="BH24" s="452"/>
      <c r="BI24" s="452"/>
    </row>
    <row r="25" spans="1:256" s="541" customFormat="1" ht="13.5" customHeight="1">
      <c r="A25" s="535"/>
      <c r="B25" s="537"/>
      <c r="C25" s="537"/>
      <c r="D25" s="542" t="s">
        <v>580</v>
      </c>
      <c r="E25" s="537"/>
      <c r="F25" s="543">
        <f>(2.15)*1</f>
        <v>2.15</v>
      </c>
      <c r="G25" s="544"/>
      <c r="H25" s="539"/>
      <c r="I25" s="545"/>
      <c r="J25" s="546"/>
      <c r="K25" s="452"/>
      <c r="L25" s="452"/>
      <c r="M25" s="452"/>
      <c r="N25" s="452"/>
      <c r="O25" s="452"/>
      <c r="P25" s="452"/>
      <c r="Q25" s="452"/>
      <c r="R25" s="452"/>
      <c r="S25" s="452"/>
      <c r="T25" s="452"/>
      <c r="U25" s="452"/>
      <c r="V25" s="452"/>
      <c r="W25" s="452"/>
      <c r="X25" s="452"/>
      <c r="Y25" s="452"/>
      <c r="Z25" s="452"/>
      <c r="AA25" s="452"/>
      <c r="AB25" s="452"/>
      <c r="AC25" s="452"/>
      <c r="AD25" s="452"/>
      <c r="AE25" s="452"/>
      <c r="AF25" s="452"/>
      <c r="AG25" s="452"/>
      <c r="AH25" s="452"/>
      <c r="AI25" s="452"/>
      <c r="AJ25" s="452"/>
      <c r="AK25" s="452"/>
      <c r="AL25" s="452"/>
      <c r="AM25" s="452"/>
      <c r="AN25" s="452"/>
      <c r="AO25" s="452"/>
      <c r="AP25" s="452"/>
      <c r="AQ25" s="452"/>
      <c r="AR25" s="452"/>
      <c r="AS25" s="452"/>
      <c r="AT25" s="452"/>
      <c r="AU25" s="452"/>
      <c r="AV25" s="452"/>
      <c r="AW25" s="452"/>
      <c r="AX25" s="452"/>
      <c r="AY25" s="452"/>
      <c r="AZ25" s="452"/>
      <c r="BA25" s="452"/>
      <c r="BB25" s="452"/>
      <c r="BC25" s="452"/>
      <c r="BD25" s="452"/>
      <c r="BE25" s="452"/>
      <c r="BF25" s="452"/>
      <c r="BG25" s="452"/>
      <c r="BH25" s="452"/>
      <c r="BI25" s="452"/>
    </row>
    <row r="26" spans="1:256" s="541" customFormat="1" ht="27" customHeight="1">
      <c r="A26" s="535"/>
      <c r="B26" s="537"/>
      <c r="C26" s="537"/>
      <c r="D26" s="542" t="s">
        <v>735</v>
      </c>
      <c r="E26" s="537"/>
      <c r="F26" s="543"/>
      <c r="G26" s="544"/>
      <c r="H26" s="539"/>
      <c r="I26" s="545"/>
      <c r="J26" s="827"/>
      <c r="K26" s="452"/>
      <c r="L26" s="452"/>
      <c r="M26" s="828"/>
      <c r="N26" s="452"/>
      <c r="O26" s="452"/>
      <c r="P26" s="452"/>
      <c r="Q26" s="452"/>
      <c r="R26" s="452"/>
      <c r="S26" s="452"/>
      <c r="T26" s="452"/>
      <c r="U26" s="452"/>
      <c r="V26" s="452"/>
      <c r="W26" s="452"/>
      <c r="X26" s="452"/>
      <c r="Y26" s="452"/>
      <c r="Z26" s="452"/>
      <c r="AA26" s="452"/>
      <c r="AB26" s="452"/>
      <c r="AC26" s="452"/>
      <c r="AD26" s="452"/>
      <c r="AE26" s="452"/>
      <c r="AF26" s="452"/>
      <c r="AG26" s="452"/>
      <c r="AH26" s="452"/>
      <c r="AI26" s="452"/>
      <c r="AJ26" s="452"/>
      <c r="AK26" s="452"/>
      <c r="AL26" s="452"/>
      <c r="AM26" s="452"/>
      <c r="AN26" s="452"/>
      <c r="AO26" s="452"/>
      <c r="AP26" s="452"/>
      <c r="AQ26" s="452"/>
      <c r="AR26" s="452"/>
      <c r="AS26" s="452"/>
      <c r="AT26" s="452"/>
      <c r="AU26" s="452"/>
      <c r="AV26" s="452"/>
      <c r="AW26" s="452"/>
      <c r="AX26" s="452"/>
      <c r="AY26" s="452"/>
      <c r="AZ26" s="452"/>
      <c r="BA26" s="452"/>
      <c r="BB26" s="452"/>
      <c r="BC26" s="452"/>
      <c r="BD26" s="452"/>
      <c r="BE26" s="452"/>
      <c r="BF26" s="452"/>
      <c r="BG26" s="452"/>
      <c r="BH26" s="452"/>
      <c r="BI26" s="452"/>
    </row>
    <row r="27" spans="1:256" s="506" customFormat="1" ht="27" customHeight="1">
      <c r="A27" s="434"/>
      <c r="B27" s="435"/>
      <c r="C27" s="456"/>
      <c r="D27" s="547" t="s">
        <v>519</v>
      </c>
      <c r="E27" s="456"/>
      <c r="F27" s="548"/>
      <c r="G27" s="448"/>
      <c r="H27" s="448"/>
      <c r="I27" s="549"/>
      <c r="J27" s="550"/>
      <c r="K27" s="551"/>
      <c r="L27" s="452"/>
      <c r="M27" s="452"/>
      <c r="N27" s="452"/>
      <c r="O27" s="452"/>
      <c r="P27" s="452"/>
      <c r="Q27" s="452"/>
      <c r="R27" s="452"/>
      <c r="S27" s="452"/>
      <c r="T27" s="452"/>
      <c r="U27" s="452"/>
      <c r="V27" s="452"/>
      <c r="W27" s="452"/>
      <c r="X27" s="452"/>
      <c r="Y27" s="452"/>
      <c r="Z27" s="452"/>
      <c r="AA27" s="452"/>
      <c r="AB27" s="452"/>
      <c r="AC27" s="452"/>
      <c r="AD27" s="452"/>
      <c r="AE27" s="452"/>
      <c r="AF27" s="452"/>
      <c r="AG27" s="452"/>
      <c r="AH27" s="452"/>
      <c r="AI27" s="452"/>
      <c r="AJ27" s="452"/>
      <c r="AK27" s="452"/>
      <c r="AL27" s="509"/>
      <c r="AM27" s="509"/>
      <c r="AN27" s="509"/>
      <c r="AO27" s="509"/>
      <c r="AP27" s="509"/>
      <c r="AQ27" s="509"/>
      <c r="AR27" s="509"/>
      <c r="AS27" s="509"/>
      <c r="AT27" s="509"/>
      <c r="AU27" s="509"/>
      <c r="AV27" s="509"/>
      <c r="AW27" s="509"/>
      <c r="AX27" s="509"/>
      <c r="AY27" s="509"/>
      <c r="AZ27" s="509"/>
      <c r="BA27" s="509"/>
      <c r="BB27" s="509"/>
      <c r="BC27" s="509"/>
      <c r="BD27" s="509"/>
      <c r="BE27" s="509"/>
      <c r="BF27" s="509"/>
      <c r="BG27" s="509"/>
      <c r="BH27" s="509"/>
      <c r="BI27" s="509"/>
      <c r="BJ27" s="508"/>
      <c r="BK27" s="508"/>
      <c r="BL27" s="508"/>
      <c r="BM27" s="508"/>
      <c r="BN27" s="508"/>
      <c r="BO27" s="508"/>
      <c r="BP27" s="508"/>
      <c r="BQ27" s="508"/>
      <c r="BR27" s="508"/>
      <c r="BS27" s="508"/>
      <c r="BT27" s="508"/>
      <c r="BU27" s="508"/>
      <c r="BV27" s="508"/>
      <c r="BW27" s="508"/>
      <c r="BX27" s="508"/>
      <c r="BY27" s="508"/>
      <c r="BZ27" s="508"/>
      <c r="CA27" s="508"/>
      <c r="CB27" s="508"/>
      <c r="CC27" s="508"/>
      <c r="CD27" s="508"/>
      <c r="CE27" s="508"/>
      <c r="CF27" s="508"/>
      <c r="CG27" s="508"/>
      <c r="CH27" s="508"/>
      <c r="CI27" s="508"/>
      <c r="CJ27" s="508"/>
      <c r="CK27" s="508"/>
      <c r="CL27" s="508"/>
      <c r="CM27" s="508"/>
      <c r="CN27" s="508"/>
      <c r="CO27" s="508"/>
      <c r="CP27" s="508"/>
      <c r="CQ27" s="508"/>
      <c r="CR27" s="508"/>
      <c r="CS27" s="508"/>
      <c r="CT27" s="508"/>
      <c r="CU27" s="508"/>
      <c r="CV27" s="508"/>
      <c r="CW27" s="508"/>
      <c r="CX27" s="508"/>
      <c r="CY27" s="508"/>
      <c r="CZ27" s="508"/>
      <c r="DA27" s="508"/>
      <c r="DB27" s="508"/>
      <c r="DC27" s="508"/>
      <c r="DD27" s="508"/>
      <c r="DE27" s="508"/>
      <c r="DF27" s="508"/>
      <c r="DG27" s="508"/>
      <c r="DH27" s="508"/>
      <c r="DI27" s="508"/>
      <c r="DJ27" s="508"/>
      <c r="DK27" s="508"/>
      <c r="DL27" s="508"/>
      <c r="DM27" s="508"/>
      <c r="DN27" s="508"/>
      <c r="DO27" s="508"/>
      <c r="DP27" s="508"/>
      <c r="DQ27" s="508"/>
      <c r="DR27" s="508"/>
      <c r="DS27" s="508"/>
      <c r="DT27" s="508"/>
      <c r="DU27" s="508"/>
      <c r="DV27" s="508"/>
      <c r="DW27" s="508"/>
      <c r="DX27" s="508"/>
      <c r="DY27" s="508"/>
      <c r="DZ27" s="508"/>
      <c r="EA27" s="508"/>
      <c r="EB27" s="508"/>
      <c r="EC27" s="508"/>
      <c r="ED27" s="508"/>
      <c r="EE27" s="508"/>
      <c r="EF27" s="508"/>
      <c r="EG27" s="508"/>
      <c r="EH27" s="508"/>
      <c r="EI27" s="508"/>
      <c r="EJ27" s="508"/>
      <c r="EK27" s="508"/>
      <c r="EL27" s="508"/>
      <c r="EM27" s="508"/>
      <c r="EN27" s="508"/>
      <c r="EO27" s="508"/>
      <c r="EP27" s="508"/>
      <c r="EQ27" s="508"/>
      <c r="ER27" s="508"/>
      <c r="ES27" s="508"/>
      <c r="ET27" s="508"/>
      <c r="EU27" s="508"/>
      <c r="EV27" s="508"/>
      <c r="EW27" s="508"/>
      <c r="EX27" s="508"/>
      <c r="EY27" s="508"/>
      <c r="EZ27" s="508"/>
      <c r="FA27" s="508"/>
      <c r="FB27" s="508"/>
      <c r="FC27" s="508"/>
      <c r="FD27" s="508"/>
      <c r="FE27" s="508"/>
      <c r="FF27" s="508"/>
      <c r="FG27" s="508"/>
      <c r="FH27" s="508"/>
      <c r="FI27" s="508"/>
      <c r="FJ27" s="508"/>
      <c r="FK27" s="508"/>
      <c r="FL27" s="508"/>
      <c r="FM27" s="508"/>
      <c r="FN27" s="508"/>
      <c r="FO27" s="508"/>
      <c r="FP27" s="508"/>
      <c r="FQ27" s="508"/>
      <c r="FR27" s="508"/>
      <c r="FS27" s="508"/>
      <c r="FT27" s="508"/>
      <c r="FU27" s="508"/>
      <c r="FV27" s="508"/>
      <c r="FW27" s="508"/>
      <c r="FX27" s="508"/>
      <c r="FY27" s="508"/>
      <c r="FZ27" s="508"/>
      <c r="GA27" s="508"/>
      <c r="GB27" s="508"/>
      <c r="GC27" s="508"/>
      <c r="GD27" s="508"/>
      <c r="GE27" s="508"/>
      <c r="GF27" s="508"/>
      <c r="GG27" s="508"/>
      <c r="GH27" s="508"/>
      <c r="GI27" s="508"/>
      <c r="GJ27" s="508"/>
      <c r="GK27" s="508"/>
      <c r="GL27" s="508"/>
      <c r="GM27" s="508"/>
      <c r="GN27" s="508"/>
      <c r="GO27" s="508"/>
      <c r="GP27" s="508"/>
      <c r="GQ27" s="508"/>
      <c r="GR27" s="508"/>
      <c r="GS27" s="508"/>
      <c r="GT27" s="508"/>
      <c r="GU27" s="508"/>
      <c r="GV27" s="508"/>
      <c r="GW27" s="508"/>
      <c r="GX27" s="508"/>
      <c r="GY27" s="508"/>
      <c r="GZ27" s="508"/>
      <c r="HA27" s="508"/>
      <c r="HB27" s="508"/>
      <c r="HC27" s="508"/>
      <c r="HD27" s="508"/>
      <c r="HE27" s="508"/>
      <c r="HF27" s="508"/>
      <c r="HG27" s="508"/>
      <c r="HH27" s="508"/>
      <c r="HI27" s="508"/>
      <c r="HJ27" s="508"/>
      <c r="HK27" s="508"/>
      <c r="HL27" s="508"/>
      <c r="HM27" s="508"/>
      <c r="HN27" s="508"/>
      <c r="HO27" s="508"/>
      <c r="HP27" s="508"/>
      <c r="HQ27" s="508"/>
      <c r="HR27" s="508"/>
      <c r="HS27" s="508"/>
      <c r="HT27" s="508"/>
      <c r="HU27" s="508"/>
      <c r="HV27" s="508"/>
      <c r="HW27" s="508"/>
      <c r="HX27" s="508"/>
      <c r="HY27" s="508"/>
      <c r="HZ27" s="508"/>
      <c r="IA27" s="508"/>
      <c r="IB27" s="508"/>
      <c r="IC27" s="508"/>
      <c r="ID27" s="508"/>
      <c r="IE27" s="508"/>
      <c r="IF27" s="508"/>
      <c r="IG27" s="508"/>
      <c r="IH27" s="508"/>
      <c r="II27" s="508"/>
      <c r="IJ27" s="508"/>
      <c r="IK27" s="508"/>
      <c r="IL27" s="508"/>
      <c r="IM27" s="508"/>
      <c r="IN27" s="508"/>
      <c r="IO27" s="508"/>
      <c r="IP27" s="508"/>
      <c r="IQ27" s="508"/>
      <c r="IR27" s="508"/>
      <c r="IS27" s="508"/>
      <c r="IT27" s="508"/>
      <c r="IU27" s="508"/>
      <c r="IV27" s="508"/>
    </row>
    <row r="28" spans="1:256" s="506" customFormat="1" ht="27" customHeight="1">
      <c r="A28" s="530">
        <v>10</v>
      </c>
      <c r="B28" s="34" t="s">
        <v>96</v>
      </c>
      <c r="C28" s="34">
        <v>132254102</v>
      </c>
      <c r="D28" s="34" t="s">
        <v>444</v>
      </c>
      <c r="E28" s="34" t="s">
        <v>122</v>
      </c>
      <c r="F28" s="534">
        <f>SUM(F29:F30)</f>
        <v>29.52</v>
      </c>
      <c r="G28" s="79"/>
      <c r="H28" s="532">
        <f t="shared" ref="H28" si="1">F28*G28</f>
        <v>0</v>
      </c>
      <c r="I28" s="819" t="s">
        <v>738</v>
      </c>
      <c r="J28" s="505"/>
      <c r="K28" s="505"/>
      <c r="L28" s="505"/>
      <c r="M28" s="505"/>
      <c r="N28" s="505"/>
      <c r="O28" s="505"/>
      <c r="P28" s="505"/>
      <c r="Q28" s="505"/>
      <c r="R28" s="505"/>
      <c r="S28" s="505"/>
      <c r="T28" s="505"/>
      <c r="U28" s="505"/>
      <c r="V28" s="505"/>
      <c r="W28" s="505"/>
      <c r="X28" s="505"/>
      <c r="Y28" s="505"/>
      <c r="Z28" s="505"/>
      <c r="AA28" s="505"/>
      <c r="AB28" s="505"/>
      <c r="AC28" s="505"/>
      <c r="AD28" s="505"/>
      <c r="AE28" s="505"/>
      <c r="AF28" s="505"/>
      <c r="AG28" s="505"/>
      <c r="AH28" s="505"/>
      <c r="AI28" s="505"/>
      <c r="AJ28" s="505"/>
      <c r="AK28" s="505"/>
      <c r="AL28" s="505"/>
      <c r="AM28" s="505"/>
      <c r="AN28" s="505"/>
      <c r="AO28" s="505"/>
      <c r="AP28" s="505"/>
      <c r="AQ28" s="505"/>
      <c r="AR28" s="505"/>
      <c r="AS28" s="505"/>
      <c r="AT28" s="505"/>
      <c r="AU28" s="505"/>
      <c r="AV28" s="505"/>
      <c r="AW28" s="505"/>
      <c r="AX28" s="505"/>
      <c r="AY28" s="505"/>
      <c r="AZ28" s="505"/>
      <c r="BA28" s="505"/>
      <c r="BB28" s="505"/>
      <c r="BC28" s="505"/>
      <c r="BD28" s="505"/>
      <c r="BE28" s="505"/>
      <c r="BF28" s="505"/>
      <c r="BG28" s="505"/>
      <c r="BH28" s="505"/>
      <c r="BI28" s="505"/>
    </row>
    <row r="29" spans="1:256" s="506" customFormat="1" ht="27" customHeight="1">
      <c r="A29" s="530"/>
      <c r="B29" s="34"/>
      <c r="C29" s="36"/>
      <c r="D29" s="36" t="s">
        <v>801</v>
      </c>
      <c r="E29" s="36"/>
      <c r="F29" s="548">
        <f>(34.9+2-2.15)*0.8*1</f>
        <v>27.8</v>
      </c>
      <c r="G29" s="553"/>
      <c r="H29" s="553"/>
      <c r="I29" s="533"/>
      <c r="J29" s="678"/>
      <c r="K29" s="505"/>
      <c r="L29" s="505"/>
      <c r="M29" s="505"/>
      <c r="N29" s="505"/>
      <c r="O29" s="505"/>
      <c r="P29" s="505"/>
      <c r="Q29" s="505"/>
      <c r="R29" s="505"/>
      <c r="S29" s="505"/>
      <c r="T29" s="505"/>
      <c r="U29" s="505"/>
      <c r="V29" s="505"/>
      <c r="W29" s="505"/>
      <c r="X29" s="505"/>
      <c r="Y29" s="505"/>
      <c r="Z29" s="505"/>
      <c r="AA29" s="505"/>
      <c r="AB29" s="505"/>
      <c r="AC29" s="505"/>
      <c r="AD29" s="505"/>
      <c r="AE29" s="505"/>
      <c r="AF29" s="505"/>
      <c r="AG29" s="505"/>
      <c r="AH29" s="505"/>
      <c r="AI29" s="505"/>
      <c r="AJ29" s="505"/>
      <c r="AK29" s="505"/>
      <c r="AL29" s="505"/>
      <c r="AM29" s="505"/>
      <c r="AN29" s="505"/>
      <c r="AO29" s="505"/>
      <c r="AP29" s="505"/>
      <c r="AQ29" s="505"/>
      <c r="AR29" s="505"/>
      <c r="AS29" s="505"/>
      <c r="AT29" s="505"/>
      <c r="AU29" s="505"/>
      <c r="AV29" s="505"/>
      <c r="AW29" s="505"/>
      <c r="AX29" s="505"/>
      <c r="AY29" s="505"/>
      <c r="AZ29" s="505"/>
      <c r="BA29" s="505"/>
      <c r="BB29" s="505"/>
      <c r="BC29" s="505"/>
      <c r="BD29" s="505"/>
      <c r="BE29" s="505"/>
      <c r="BF29" s="505"/>
      <c r="BG29" s="505"/>
      <c r="BH29" s="505"/>
      <c r="BI29" s="505"/>
    </row>
    <row r="30" spans="1:256" s="506" customFormat="1" ht="13.5" customHeight="1">
      <c r="A30" s="530"/>
      <c r="B30" s="34"/>
      <c r="C30" s="36"/>
      <c r="D30" s="36" t="s">
        <v>698</v>
      </c>
      <c r="E30" s="36"/>
      <c r="F30" s="548">
        <f>(2.15)*0.8*1</f>
        <v>1.72</v>
      </c>
      <c r="G30" s="553"/>
      <c r="H30" s="553"/>
      <c r="I30" s="533"/>
      <c r="J30" s="763"/>
      <c r="K30" s="505"/>
      <c r="L30" s="505"/>
      <c r="M30" s="505"/>
      <c r="N30" s="505"/>
      <c r="O30" s="505"/>
      <c r="P30" s="505"/>
      <c r="Q30" s="505"/>
      <c r="R30" s="505"/>
      <c r="S30" s="505"/>
      <c r="T30" s="505"/>
      <c r="U30" s="505"/>
      <c r="V30" s="505"/>
      <c r="W30" s="505"/>
      <c r="X30" s="505"/>
      <c r="Y30" s="505"/>
      <c r="Z30" s="505"/>
      <c r="AA30" s="505"/>
      <c r="AB30" s="505"/>
      <c r="AC30" s="505"/>
      <c r="AD30" s="505"/>
      <c r="AE30" s="505"/>
      <c r="AF30" s="505"/>
      <c r="AG30" s="505"/>
      <c r="AH30" s="505"/>
      <c r="AI30" s="505"/>
      <c r="AJ30" s="505"/>
      <c r="AK30" s="505"/>
      <c r="AL30" s="505"/>
      <c r="AM30" s="505"/>
      <c r="AN30" s="505"/>
      <c r="AO30" s="505"/>
      <c r="AP30" s="505"/>
      <c r="AQ30" s="505"/>
      <c r="AR30" s="505"/>
      <c r="AS30" s="505"/>
      <c r="AT30" s="505"/>
      <c r="AU30" s="505"/>
      <c r="AV30" s="505"/>
      <c r="AW30" s="505"/>
      <c r="AX30" s="505"/>
      <c r="AY30" s="505"/>
      <c r="AZ30" s="505"/>
      <c r="BA30" s="505"/>
      <c r="BB30" s="505"/>
      <c r="BC30" s="505"/>
      <c r="BD30" s="505"/>
      <c r="BE30" s="505"/>
      <c r="BF30" s="505"/>
      <c r="BG30" s="505"/>
      <c r="BH30" s="505"/>
      <c r="BI30" s="505"/>
    </row>
    <row r="31" spans="1:256" s="563" customFormat="1" ht="40.5" customHeight="1">
      <c r="A31" s="555"/>
      <c r="B31" s="556"/>
      <c r="C31" s="557"/>
      <c r="D31" s="558" t="s">
        <v>572</v>
      </c>
      <c r="E31" s="557"/>
      <c r="F31" s="559"/>
      <c r="G31" s="560"/>
      <c r="H31" s="560"/>
      <c r="I31" s="561"/>
      <c r="J31" s="829"/>
      <c r="K31" s="830"/>
      <c r="L31" s="831"/>
      <c r="M31" s="831"/>
      <c r="N31" s="831"/>
      <c r="O31" s="373"/>
      <c r="P31" s="373"/>
      <c r="Q31" s="373"/>
      <c r="R31" s="373"/>
      <c r="S31" s="373"/>
      <c r="T31" s="373"/>
      <c r="U31" s="373"/>
      <c r="V31" s="373"/>
      <c r="W31" s="373"/>
      <c r="X31" s="373"/>
      <c r="Y31" s="373"/>
      <c r="Z31" s="373"/>
      <c r="AA31" s="373"/>
      <c r="AB31" s="373"/>
      <c r="AC31" s="373"/>
      <c r="AD31" s="373"/>
      <c r="AE31" s="373"/>
      <c r="AF31" s="373"/>
      <c r="AG31" s="373"/>
      <c r="AH31" s="373"/>
      <c r="AI31" s="373"/>
      <c r="AJ31" s="373"/>
      <c r="AK31" s="373"/>
      <c r="AL31" s="373"/>
      <c r="AM31" s="373"/>
      <c r="AN31" s="373"/>
      <c r="AO31" s="373"/>
      <c r="AP31" s="373"/>
      <c r="AQ31" s="373"/>
      <c r="AR31" s="373"/>
      <c r="AS31" s="373"/>
      <c r="AT31" s="373"/>
      <c r="AU31" s="373"/>
      <c r="AV31" s="373"/>
      <c r="AW31" s="373"/>
      <c r="AX31" s="373"/>
      <c r="AY31" s="373"/>
      <c r="AZ31" s="373"/>
      <c r="BA31" s="373"/>
      <c r="BB31" s="373"/>
      <c r="BC31" s="373"/>
      <c r="BD31" s="373"/>
      <c r="BE31" s="373"/>
      <c r="BF31" s="373"/>
      <c r="BG31" s="373"/>
      <c r="BH31" s="373"/>
      <c r="BI31" s="373"/>
    </row>
    <row r="32" spans="1:256" s="506" customFormat="1" ht="13.5" customHeight="1">
      <c r="A32" s="530">
        <v>11</v>
      </c>
      <c r="B32" s="34" t="s">
        <v>96</v>
      </c>
      <c r="C32" s="34">
        <v>139001101</v>
      </c>
      <c r="D32" s="34" t="s">
        <v>160</v>
      </c>
      <c r="E32" s="34" t="s">
        <v>122</v>
      </c>
      <c r="F32" s="534">
        <f>F33</f>
        <v>2.952</v>
      </c>
      <c r="G32" s="79"/>
      <c r="H32" s="532">
        <f>F32*G32</f>
        <v>0</v>
      </c>
      <c r="I32" s="819" t="s">
        <v>738</v>
      </c>
      <c r="J32" s="505"/>
      <c r="K32" s="505"/>
      <c r="L32" s="505"/>
      <c r="M32" s="505"/>
      <c r="N32" s="505"/>
      <c r="O32" s="505"/>
      <c r="P32" s="505"/>
      <c r="Q32" s="505"/>
      <c r="R32" s="505"/>
      <c r="S32" s="505"/>
      <c r="T32" s="505"/>
      <c r="U32" s="505"/>
      <c r="V32" s="505"/>
      <c r="W32" s="505"/>
      <c r="X32" s="505"/>
      <c r="Y32" s="505"/>
      <c r="Z32" s="505"/>
      <c r="AA32" s="505"/>
      <c r="AB32" s="505"/>
      <c r="AC32" s="505"/>
      <c r="AD32" s="505"/>
      <c r="AE32" s="505"/>
      <c r="AF32" s="505"/>
      <c r="AG32" s="505"/>
      <c r="AH32" s="505"/>
      <c r="AI32" s="505"/>
      <c r="AJ32" s="505"/>
      <c r="AK32" s="505"/>
      <c r="AL32" s="505"/>
      <c r="AM32" s="505"/>
      <c r="AN32" s="505"/>
      <c r="AO32" s="505"/>
      <c r="AP32" s="505"/>
      <c r="AQ32" s="505"/>
      <c r="AR32" s="505"/>
      <c r="AS32" s="505"/>
      <c r="AT32" s="505"/>
      <c r="AU32" s="505"/>
      <c r="AV32" s="505"/>
      <c r="AW32" s="505"/>
      <c r="AX32" s="505"/>
      <c r="AY32" s="505"/>
      <c r="AZ32" s="505"/>
      <c r="BA32" s="505"/>
      <c r="BB32" s="505"/>
      <c r="BC32" s="505"/>
      <c r="BD32" s="505"/>
      <c r="BE32" s="505"/>
      <c r="BF32" s="505"/>
      <c r="BG32" s="505"/>
      <c r="BH32" s="505"/>
      <c r="BI32" s="505"/>
    </row>
    <row r="33" spans="1:61" s="506" customFormat="1" ht="13.5" customHeight="1">
      <c r="A33" s="530"/>
      <c r="B33" s="34"/>
      <c r="C33" s="36"/>
      <c r="D33" s="36" t="s">
        <v>802</v>
      </c>
      <c r="E33" s="36"/>
      <c r="F33" s="548">
        <f>(29.52)*0.1</f>
        <v>2.952</v>
      </c>
      <c r="G33" s="553"/>
      <c r="H33" s="553"/>
      <c r="I33" s="533"/>
      <c r="J33" s="505"/>
      <c r="K33" s="505"/>
      <c r="L33" s="505"/>
      <c r="M33" s="505"/>
      <c r="N33" s="505"/>
      <c r="O33" s="505"/>
      <c r="P33" s="505"/>
      <c r="Q33" s="505"/>
      <c r="R33" s="505"/>
      <c r="S33" s="505"/>
      <c r="T33" s="505"/>
      <c r="U33" s="505"/>
      <c r="V33" s="505"/>
      <c r="W33" s="505"/>
      <c r="X33" s="505"/>
      <c r="Y33" s="505"/>
      <c r="Z33" s="505"/>
      <c r="AA33" s="505"/>
      <c r="AB33" s="505"/>
      <c r="AC33" s="505"/>
      <c r="AD33" s="505"/>
      <c r="AE33" s="505"/>
      <c r="AF33" s="505"/>
      <c r="AG33" s="505"/>
      <c r="AH33" s="505"/>
      <c r="AI33" s="505"/>
      <c r="AJ33" s="505"/>
      <c r="AK33" s="505"/>
      <c r="AL33" s="505"/>
      <c r="AM33" s="505"/>
      <c r="AN33" s="505"/>
      <c r="AO33" s="505"/>
      <c r="AP33" s="505"/>
      <c r="AQ33" s="505"/>
      <c r="AR33" s="505"/>
      <c r="AS33" s="505"/>
      <c r="AT33" s="505"/>
      <c r="AU33" s="505"/>
      <c r="AV33" s="505"/>
      <c r="AW33" s="505"/>
      <c r="AX33" s="505"/>
      <c r="AY33" s="505"/>
      <c r="AZ33" s="505"/>
      <c r="BA33" s="505"/>
      <c r="BB33" s="505"/>
      <c r="BC33" s="505"/>
      <c r="BD33" s="505"/>
      <c r="BE33" s="505"/>
      <c r="BF33" s="505"/>
      <c r="BG33" s="505"/>
      <c r="BH33" s="505"/>
      <c r="BI33" s="505"/>
    </row>
    <row r="34" spans="1:61" s="506" customFormat="1" ht="13.5" customHeight="1">
      <c r="A34" s="530">
        <v>12</v>
      </c>
      <c r="B34" s="34" t="s">
        <v>96</v>
      </c>
      <c r="C34" s="34">
        <v>151101101</v>
      </c>
      <c r="D34" s="34" t="s">
        <v>169</v>
      </c>
      <c r="E34" s="34" t="s">
        <v>98</v>
      </c>
      <c r="F34" s="534">
        <f>SUM(F35:F35)</f>
        <v>36.9</v>
      </c>
      <c r="G34" s="79"/>
      <c r="H34" s="532">
        <f>F34*G34</f>
        <v>0</v>
      </c>
      <c r="I34" s="819" t="s">
        <v>738</v>
      </c>
      <c r="J34" s="540"/>
      <c r="K34" s="505"/>
      <c r="L34" s="505"/>
      <c r="M34" s="505"/>
      <c r="N34" s="505"/>
      <c r="O34" s="505"/>
      <c r="P34" s="505"/>
      <c r="Q34" s="505"/>
      <c r="R34" s="505"/>
      <c r="S34" s="505"/>
      <c r="T34" s="505"/>
      <c r="U34" s="505"/>
      <c r="V34" s="505"/>
      <c r="W34" s="505"/>
      <c r="X34" s="505"/>
      <c r="Y34" s="505"/>
      <c r="Z34" s="505"/>
      <c r="AA34" s="505"/>
      <c r="AB34" s="505"/>
      <c r="AC34" s="505"/>
      <c r="AD34" s="505"/>
      <c r="AE34" s="505"/>
      <c r="AF34" s="505"/>
      <c r="AG34" s="505"/>
      <c r="AH34" s="505"/>
      <c r="AI34" s="505"/>
      <c r="AJ34" s="505"/>
      <c r="AK34" s="505"/>
      <c r="AL34" s="505"/>
      <c r="AM34" s="505"/>
      <c r="AN34" s="505"/>
      <c r="AO34" s="505"/>
      <c r="AP34" s="505"/>
      <c r="AQ34" s="505"/>
      <c r="AR34" s="505"/>
      <c r="AS34" s="505"/>
      <c r="AT34" s="505"/>
      <c r="AU34" s="505"/>
      <c r="AV34" s="505"/>
      <c r="AW34" s="505"/>
      <c r="AX34" s="505"/>
      <c r="AY34" s="505"/>
      <c r="AZ34" s="505"/>
      <c r="BA34" s="505"/>
      <c r="BB34" s="505"/>
      <c r="BC34" s="505"/>
      <c r="BD34" s="505"/>
      <c r="BE34" s="505"/>
      <c r="BF34" s="505"/>
      <c r="BG34" s="505"/>
      <c r="BH34" s="505"/>
      <c r="BI34" s="505"/>
    </row>
    <row r="35" spans="1:61" s="506" customFormat="1" ht="13.5" customHeight="1">
      <c r="A35" s="530"/>
      <c r="B35" s="34"/>
      <c r="C35" s="36"/>
      <c r="D35" s="36" t="s">
        <v>803</v>
      </c>
      <c r="E35" s="36"/>
      <c r="F35" s="548">
        <f>((34.9+2)*1*2)*0.5</f>
        <v>36.9</v>
      </c>
      <c r="G35" s="553"/>
      <c r="H35" s="553"/>
      <c r="I35" s="533"/>
      <c r="J35" s="685"/>
      <c r="K35" s="452"/>
      <c r="L35" s="452"/>
      <c r="M35" s="452"/>
      <c r="N35" s="452"/>
      <c r="O35" s="452"/>
      <c r="P35" s="452"/>
      <c r="Q35" s="452"/>
      <c r="R35" s="452"/>
      <c r="S35" s="452"/>
      <c r="T35" s="452"/>
      <c r="U35" s="452"/>
      <c r="V35" s="452"/>
      <c r="W35" s="452"/>
      <c r="X35" s="452"/>
      <c r="Y35" s="452"/>
      <c r="Z35" s="452"/>
      <c r="AA35" s="452"/>
      <c r="AB35" s="452"/>
      <c r="AC35" s="452"/>
      <c r="AD35" s="452"/>
      <c r="AE35" s="452"/>
      <c r="AF35" s="452"/>
      <c r="AG35" s="452"/>
      <c r="AH35" s="452"/>
      <c r="AI35" s="452"/>
      <c r="AJ35" s="452"/>
      <c r="AK35" s="452"/>
      <c r="AL35" s="452"/>
      <c r="AM35" s="452"/>
      <c r="AN35" s="452"/>
      <c r="AO35" s="452"/>
      <c r="AP35" s="452"/>
      <c r="AQ35" s="452"/>
      <c r="AR35" s="452"/>
      <c r="AS35" s="452"/>
      <c r="AT35" s="452"/>
      <c r="AU35" s="452"/>
      <c r="AV35" s="452"/>
      <c r="AW35" s="452"/>
      <c r="AX35" s="452"/>
      <c r="AY35" s="505"/>
      <c r="AZ35" s="505"/>
      <c r="BA35" s="505"/>
      <c r="BB35" s="505"/>
      <c r="BC35" s="505"/>
      <c r="BD35" s="505"/>
      <c r="BE35" s="505"/>
      <c r="BF35" s="505"/>
      <c r="BG35" s="505"/>
      <c r="BH35" s="505"/>
      <c r="BI35" s="505"/>
    </row>
    <row r="36" spans="1:61" s="506" customFormat="1" ht="13.5" customHeight="1">
      <c r="A36" s="530">
        <v>13</v>
      </c>
      <c r="B36" s="34" t="s">
        <v>96</v>
      </c>
      <c r="C36" s="34">
        <v>151101111</v>
      </c>
      <c r="D36" s="34" t="s">
        <v>170</v>
      </c>
      <c r="E36" s="34" t="s">
        <v>98</v>
      </c>
      <c r="F36" s="534">
        <f>F34</f>
        <v>36.9</v>
      </c>
      <c r="G36" s="79"/>
      <c r="H36" s="532">
        <f>F36*G36</f>
        <v>0</v>
      </c>
      <c r="I36" s="819" t="s">
        <v>738</v>
      </c>
      <c r="J36" s="540"/>
      <c r="K36" s="452"/>
      <c r="L36" s="452"/>
      <c r="M36" s="452"/>
      <c r="N36" s="452"/>
      <c r="O36" s="452"/>
      <c r="P36" s="452"/>
      <c r="Q36" s="452"/>
      <c r="R36" s="452"/>
      <c r="S36" s="452"/>
      <c r="T36" s="452"/>
      <c r="U36" s="452"/>
      <c r="V36" s="452"/>
      <c r="W36" s="452"/>
      <c r="X36" s="452"/>
      <c r="Y36" s="452"/>
      <c r="Z36" s="452"/>
      <c r="AA36" s="452"/>
      <c r="AB36" s="452"/>
      <c r="AC36" s="452"/>
      <c r="AD36" s="452"/>
      <c r="AE36" s="452"/>
      <c r="AF36" s="452"/>
      <c r="AG36" s="452"/>
      <c r="AH36" s="452"/>
      <c r="AI36" s="452"/>
      <c r="AJ36" s="452"/>
      <c r="AK36" s="452"/>
      <c r="AL36" s="452"/>
      <c r="AM36" s="452"/>
      <c r="AN36" s="452"/>
      <c r="AO36" s="452"/>
      <c r="AP36" s="452"/>
      <c r="AQ36" s="452"/>
      <c r="AR36" s="452"/>
      <c r="AS36" s="452"/>
      <c r="AT36" s="452"/>
      <c r="AU36" s="452"/>
      <c r="AV36" s="452"/>
      <c r="AW36" s="452"/>
      <c r="AX36" s="452"/>
      <c r="AY36" s="505"/>
      <c r="AZ36" s="505"/>
      <c r="BA36" s="505"/>
      <c r="BB36" s="505"/>
      <c r="BC36" s="505"/>
      <c r="BD36" s="505"/>
      <c r="BE36" s="505"/>
      <c r="BF36" s="505"/>
      <c r="BG36" s="505"/>
      <c r="BH36" s="505"/>
      <c r="BI36" s="505"/>
    </row>
    <row r="37" spans="1:61" s="508" customFormat="1" ht="13.5" customHeight="1">
      <c r="A37" s="530">
        <v>14</v>
      </c>
      <c r="B37" s="34" t="s">
        <v>96</v>
      </c>
      <c r="C37" s="34">
        <v>171152501</v>
      </c>
      <c r="D37" s="34" t="s">
        <v>171</v>
      </c>
      <c r="E37" s="34" t="s">
        <v>98</v>
      </c>
      <c r="F37" s="673">
        <f>SUM(F38:F38)</f>
        <v>34.75</v>
      </c>
      <c r="G37" s="79"/>
      <c r="H37" s="532">
        <f>F37*G37</f>
        <v>0</v>
      </c>
      <c r="I37" s="819" t="s">
        <v>738</v>
      </c>
      <c r="J37" s="554"/>
      <c r="K37" s="505"/>
      <c r="L37" s="505"/>
      <c r="M37" s="505"/>
      <c r="N37" s="505"/>
      <c r="O37" s="505"/>
      <c r="P37" s="505"/>
      <c r="Q37" s="505"/>
      <c r="R37" s="505"/>
      <c r="S37" s="505"/>
      <c r="T37" s="505"/>
      <c r="U37" s="505"/>
      <c r="V37" s="505"/>
      <c r="W37" s="505"/>
      <c r="X37" s="505"/>
      <c r="Y37" s="505"/>
      <c r="Z37" s="505"/>
      <c r="AA37" s="505"/>
      <c r="AB37" s="505"/>
      <c r="AC37" s="505"/>
      <c r="AD37" s="505"/>
      <c r="AE37" s="505"/>
      <c r="AF37" s="505"/>
      <c r="AG37" s="505"/>
      <c r="AH37" s="505"/>
      <c r="AI37" s="505"/>
      <c r="AJ37" s="505"/>
      <c r="AK37" s="505"/>
      <c r="AL37" s="505"/>
      <c r="AM37" s="505"/>
      <c r="AN37" s="505"/>
      <c r="AO37" s="505"/>
      <c r="AP37" s="505"/>
      <c r="AQ37" s="505"/>
      <c r="AR37" s="505"/>
      <c r="AS37" s="505"/>
      <c r="AT37" s="505"/>
      <c r="AU37" s="505"/>
      <c r="AV37" s="505"/>
      <c r="AW37" s="505"/>
      <c r="AX37" s="505"/>
      <c r="AY37" s="509"/>
      <c r="AZ37" s="509"/>
      <c r="BA37" s="509"/>
      <c r="BB37" s="509"/>
      <c r="BC37" s="509"/>
      <c r="BD37" s="509"/>
      <c r="BE37" s="509"/>
      <c r="BF37" s="509"/>
      <c r="BG37" s="509"/>
      <c r="BH37" s="509"/>
      <c r="BI37" s="509"/>
    </row>
    <row r="38" spans="1:61" s="508" customFormat="1" ht="27" customHeight="1">
      <c r="A38" s="832"/>
      <c r="B38" s="833"/>
      <c r="C38" s="833"/>
      <c r="D38" s="36" t="s">
        <v>804</v>
      </c>
      <c r="E38" s="34"/>
      <c r="F38" s="548">
        <f>(34.9+2-2.15)*1</f>
        <v>34.75</v>
      </c>
      <c r="G38" s="834"/>
      <c r="H38" s="532"/>
      <c r="I38" s="835"/>
      <c r="J38" s="505"/>
      <c r="K38" s="505"/>
      <c r="L38" s="505"/>
      <c r="M38" s="505"/>
      <c r="N38" s="505"/>
      <c r="O38" s="505"/>
      <c r="P38" s="505"/>
      <c r="Q38" s="505"/>
      <c r="R38" s="505"/>
      <c r="S38" s="505"/>
      <c r="T38" s="505"/>
      <c r="U38" s="505"/>
      <c r="V38" s="505"/>
      <c r="W38" s="505"/>
      <c r="X38" s="505"/>
      <c r="Y38" s="505"/>
      <c r="Z38" s="505"/>
      <c r="AA38" s="505"/>
      <c r="AB38" s="505"/>
      <c r="AC38" s="505"/>
      <c r="AD38" s="505"/>
      <c r="AE38" s="505"/>
      <c r="AF38" s="505"/>
      <c r="AG38" s="505"/>
      <c r="AH38" s="505"/>
      <c r="AI38" s="505"/>
      <c r="AJ38" s="505"/>
      <c r="AK38" s="505"/>
      <c r="AL38" s="505"/>
      <c r="AM38" s="505"/>
      <c r="AN38" s="505"/>
      <c r="AO38" s="505"/>
      <c r="AP38" s="505"/>
      <c r="AQ38" s="505"/>
      <c r="AR38" s="505"/>
      <c r="AS38" s="505"/>
      <c r="AT38" s="505"/>
      <c r="AU38" s="505"/>
      <c r="AV38" s="505"/>
      <c r="AW38" s="505"/>
      <c r="AX38" s="505"/>
      <c r="AY38" s="509"/>
      <c r="AZ38" s="509"/>
      <c r="BA38" s="509"/>
      <c r="BB38" s="509"/>
      <c r="BC38" s="509"/>
      <c r="BD38" s="509"/>
      <c r="BE38" s="509"/>
      <c r="BF38" s="509"/>
      <c r="BG38" s="509"/>
      <c r="BH38" s="509"/>
      <c r="BI38" s="509"/>
    </row>
    <row r="39" spans="1:61" s="506" customFormat="1" ht="13.5" customHeight="1">
      <c r="A39" s="530">
        <v>15</v>
      </c>
      <c r="B39" s="34" t="s">
        <v>96</v>
      </c>
      <c r="C39" s="34">
        <v>174151101</v>
      </c>
      <c r="D39" s="34" t="s">
        <v>161</v>
      </c>
      <c r="E39" s="34" t="s">
        <v>122</v>
      </c>
      <c r="F39" s="534">
        <f>SUM(F40:F41)</f>
        <v>29.52</v>
      </c>
      <c r="G39" s="79"/>
      <c r="H39" s="532">
        <f>F39*G39</f>
        <v>0</v>
      </c>
      <c r="I39" s="819" t="s">
        <v>738</v>
      </c>
      <c r="J39" s="373"/>
      <c r="K39" s="562"/>
      <c r="L39" s="373"/>
      <c r="M39" s="373"/>
      <c r="N39" s="373"/>
      <c r="O39" s="373"/>
      <c r="P39" s="373"/>
      <c r="Q39" s="373"/>
      <c r="R39" s="373"/>
      <c r="S39" s="373"/>
      <c r="T39" s="373"/>
      <c r="U39" s="373"/>
      <c r="V39" s="373"/>
      <c r="W39" s="373"/>
      <c r="X39" s="373"/>
      <c r="Y39" s="373"/>
      <c r="Z39" s="373"/>
      <c r="AA39" s="373"/>
      <c r="AB39" s="373"/>
      <c r="AC39" s="373"/>
      <c r="AD39" s="373"/>
      <c r="AE39" s="373"/>
      <c r="AF39" s="373"/>
      <c r="AG39" s="373"/>
      <c r="AH39" s="373"/>
      <c r="AI39" s="373"/>
      <c r="AJ39" s="373"/>
      <c r="AK39" s="373"/>
      <c r="AL39" s="373"/>
      <c r="AM39" s="373"/>
      <c r="AN39" s="373"/>
      <c r="AO39" s="373"/>
      <c r="AP39" s="373"/>
      <c r="AQ39" s="373"/>
      <c r="AR39" s="373"/>
      <c r="AS39" s="373"/>
      <c r="AT39" s="373"/>
      <c r="AU39" s="373"/>
      <c r="AV39" s="373"/>
      <c r="AW39" s="373"/>
      <c r="AX39" s="373"/>
      <c r="AY39" s="505"/>
      <c r="AZ39" s="505"/>
      <c r="BA39" s="505"/>
      <c r="BB39" s="505"/>
      <c r="BC39" s="505"/>
      <c r="BD39" s="505"/>
      <c r="BE39" s="505"/>
      <c r="BF39" s="505"/>
      <c r="BG39" s="505"/>
      <c r="BH39" s="505"/>
      <c r="BI39" s="505"/>
    </row>
    <row r="40" spans="1:61" s="506" customFormat="1" ht="27" customHeight="1">
      <c r="A40" s="530"/>
      <c r="B40" s="34"/>
      <c r="C40" s="36"/>
      <c r="D40" s="36" t="s">
        <v>805</v>
      </c>
      <c r="E40" s="36"/>
      <c r="F40" s="548">
        <f>(34.9+2-2.15)*0.8*1</f>
        <v>27.8</v>
      </c>
      <c r="G40" s="553"/>
      <c r="H40" s="553"/>
      <c r="I40" s="533"/>
      <c r="J40" s="505"/>
      <c r="K40" s="505"/>
      <c r="L40" s="505"/>
      <c r="M40" s="505"/>
      <c r="N40" s="505"/>
      <c r="O40" s="505"/>
      <c r="P40" s="505"/>
      <c r="Q40" s="505"/>
      <c r="R40" s="505"/>
      <c r="S40" s="505"/>
      <c r="T40" s="505"/>
      <c r="U40" s="505"/>
      <c r="V40" s="505"/>
      <c r="W40" s="505"/>
      <c r="X40" s="505"/>
      <c r="Y40" s="505"/>
      <c r="Z40" s="505"/>
      <c r="AA40" s="505"/>
      <c r="AB40" s="505"/>
      <c r="AC40" s="505"/>
      <c r="AD40" s="505"/>
      <c r="AE40" s="505"/>
      <c r="AF40" s="505"/>
      <c r="AG40" s="505"/>
      <c r="AH40" s="505"/>
      <c r="AI40" s="505"/>
      <c r="AJ40" s="505"/>
      <c r="AK40" s="505"/>
      <c r="AL40" s="505"/>
      <c r="AM40" s="505"/>
      <c r="AN40" s="505"/>
      <c r="AO40" s="505"/>
      <c r="AP40" s="505"/>
      <c r="AQ40" s="505"/>
      <c r="AR40" s="505"/>
      <c r="AS40" s="505"/>
      <c r="AT40" s="505"/>
      <c r="AU40" s="505"/>
      <c r="AV40" s="505"/>
      <c r="AW40" s="505"/>
      <c r="AX40" s="505"/>
      <c r="AY40" s="505"/>
      <c r="AZ40" s="505"/>
      <c r="BA40" s="505"/>
      <c r="BB40" s="505"/>
      <c r="BC40" s="505"/>
      <c r="BD40" s="505"/>
      <c r="BE40" s="505"/>
      <c r="BF40" s="505"/>
      <c r="BG40" s="505"/>
      <c r="BH40" s="505"/>
      <c r="BI40" s="505"/>
    </row>
    <row r="41" spans="1:61" s="506" customFormat="1" ht="13.5" customHeight="1">
      <c r="A41" s="530"/>
      <c r="B41" s="34"/>
      <c r="C41" s="36"/>
      <c r="D41" s="36" t="s">
        <v>575</v>
      </c>
      <c r="E41" s="36"/>
      <c r="F41" s="548">
        <f>(2.15)*0.8*1</f>
        <v>1.72</v>
      </c>
      <c r="G41" s="553"/>
      <c r="H41" s="553"/>
      <c r="I41" s="533"/>
      <c r="J41" s="505"/>
      <c r="K41" s="505"/>
      <c r="L41" s="505"/>
      <c r="M41" s="505"/>
      <c r="N41" s="505"/>
      <c r="O41" s="505"/>
      <c r="P41" s="505"/>
      <c r="Q41" s="505"/>
      <c r="R41" s="505"/>
      <c r="S41" s="505"/>
      <c r="T41" s="505"/>
      <c r="U41" s="505"/>
      <c r="V41" s="505"/>
      <c r="W41" s="505"/>
      <c r="X41" s="505"/>
      <c r="Y41" s="505"/>
      <c r="Z41" s="505"/>
      <c r="AA41" s="505"/>
      <c r="AB41" s="505"/>
      <c r="AC41" s="505"/>
      <c r="AD41" s="505"/>
      <c r="AE41" s="505"/>
      <c r="AF41" s="505"/>
      <c r="AG41" s="505"/>
      <c r="AH41" s="505"/>
      <c r="AI41" s="505"/>
      <c r="AJ41" s="505"/>
      <c r="AK41" s="505"/>
      <c r="AL41" s="505"/>
      <c r="AM41" s="505"/>
      <c r="AN41" s="505"/>
      <c r="AO41" s="505"/>
      <c r="AP41" s="505"/>
      <c r="AQ41" s="505"/>
      <c r="AR41" s="505"/>
      <c r="AS41" s="505"/>
      <c r="AT41" s="505"/>
      <c r="AU41" s="505"/>
      <c r="AV41" s="505"/>
      <c r="AW41" s="505"/>
      <c r="AX41" s="505"/>
      <c r="AY41" s="505"/>
      <c r="AZ41" s="505"/>
      <c r="BA41" s="505"/>
      <c r="BB41" s="505"/>
      <c r="BC41" s="505"/>
      <c r="BD41" s="505"/>
      <c r="BE41" s="505"/>
      <c r="BF41" s="505"/>
      <c r="BG41" s="505"/>
      <c r="BH41" s="505"/>
      <c r="BI41" s="505"/>
    </row>
    <row r="42" spans="1:61" s="508" customFormat="1" ht="13.5" customHeight="1">
      <c r="A42" s="836">
        <v>16</v>
      </c>
      <c r="B42" s="837" t="s">
        <v>172</v>
      </c>
      <c r="C42" s="837" t="s">
        <v>173</v>
      </c>
      <c r="D42" s="838" t="s">
        <v>174</v>
      </c>
      <c r="E42" s="37" t="s">
        <v>125</v>
      </c>
      <c r="F42" s="839">
        <f>SUM(F43:F43)</f>
        <v>55.6</v>
      </c>
      <c r="G42" s="80"/>
      <c r="H42" s="840">
        <f>F42*G42</f>
        <v>0</v>
      </c>
      <c r="I42" s="841" t="s">
        <v>738</v>
      </c>
      <c r="J42" s="505"/>
      <c r="K42" s="505"/>
      <c r="L42" s="505"/>
      <c r="M42" s="505"/>
      <c r="N42" s="505"/>
      <c r="O42" s="505"/>
      <c r="P42" s="505"/>
      <c r="Q42" s="505"/>
      <c r="R42" s="505"/>
      <c r="S42" s="505"/>
      <c r="T42" s="505"/>
      <c r="U42" s="505"/>
      <c r="V42" s="505"/>
      <c r="W42" s="505"/>
      <c r="X42" s="505"/>
      <c r="Y42" s="505"/>
      <c r="Z42" s="505"/>
      <c r="AA42" s="505"/>
      <c r="AB42" s="505"/>
      <c r="AC42" s="505"/>
      <c r="AD42" s="505"/>
      <c r="AE42" s="505"/>
      <c r="AF42" s="505"/>
      <c r="AG42" s="505"/>
      <c r="AH42" s="505"/>
      <c r="AI42" s="505"/>
      <c r="AJ42" s="505"/>
      <c r="AK42" s="505"/>
      <c r="AL42" s="505"/>
      <c r="AM42" s="505"/>
      <c r="AN42" s="505"/>
      <c r="AO42" s="505"/>
      <c r="AP42" s="505"/>
      <c r="AQ42" s="505"/>
      <c r="AR42" s="505"/>
      <c r="AS42" s="505"/>
      <c r="AT42" s="505"/>
      <c r="AU42" s="505"/>
      <c r="AV42" s="505"/>
      <c r="AW42" s="505"/>
      <c r="AX42" s="505"/>
      <c r="AY42" s="509"/>
      <c r="AZ42" s="509"/>
      <c r="BA42" s="509"/>
      <c r="BB42" s="509"/>
      <c r="BC42" s="509"/>
      <c r="BD42" s="509"/>
      <c r="BE42" s="509"/>
      <c r="BF42" s="509"/>
      <c r="BG42" s="509"/>
      <c r="BH42" s="509"/>
      <c r="BI42" s="509"/>
    </row>
    <row r="43" spans="1:61" s="508" customFormat="1" ht="13.5" customHeight="1">
      <c r="A43" s="842"/>
      <c r="B43" s="843"/>
      <c r="C43" s="843"/>
      <c r="D43" s="39" t="s">
        <v>806</v>
      </c>
      <c r="E43" s="37"/>
      <c r="F43" s="844">
        <f>(27.8)*2</f>
        <v>55.6</v>
      </c>
      <c r="G43" s="532"/>
      <c r="H43" s="845"/>
      <c r="I43" s="846"/>
      <c r="J43" s="505"/>
      <c r="K43" s="505"/>
      <c r="L43" s="505"/>
      <c r="M43" s="505"/>
      <c r="N43" s="505"/>
      <c r="O43" s="505"/>
      <c r="P43" s="505"/>
      <c r="Q43" s="505"/>
      <c r="R43" s="505"/>
      <c r="S43" s="505"/>
      <c r="T43" s="505"/>
      <c r="U43" s="505"/>
      <c r="V43" s="505"/>
      <c r="W43" s="505"/>
      <c r="X43" s="505"/>
      <c r="Y43" s="505"/>
      <c r="Z43" s="505"/>
      <c r="AA43" s="505"/>
      <c r="AB43" s="505"/>
      <c r="AC43" s="505"/>
      <c r="AD43" s="505"/>
      <c r="AE43" s="505"/>
      <c r="AF43" s="505"/>
      <c r="AG43" s="505"/>
      <c r="AH43" s="505"/>
      <c r="AI43" s="505"/>
      <c r="AJ43" s="505"/>
      <c r="AK43" s="505"/>
      <c r="AL43" s="505"/>
      <c r="AM43" s="505"/>
      <c r="AN43" s="505"/>
      <c r="AO43" s="505"/>
      <c r="AP43" s="505"/>
      <c r="AQ43" s="505"/>
      <c r="AR43" s="505"/>
      <c r="AS43" s="505"/>
      <c r="AT43" s="505"/>
      <c r="AU43" s="505"/>
      <c r="AV43" s="505"/>
      <c r="AW43" s="505"/>
      <c r="AX43" s="505"/>
      <c r="AY43" s="509"/>
      <c r="AZ43" s="509"/>
      <c r="BA43" s="509"/>
      <c r="BB43" s="509"/>
      <c r="BC43" s="509"/>
      <c r="BD43" s="509"/>
      <c r="BE43" s="509"/>
      <c r="BF43" s="509"/>
      <c r="BG43" s="509"/>
      <c r="BH43" s="509"/>
      <c r="BI43" s="509"/>
    </row>
    <row r="44" spans="1:61" s="541" customFormat="1" ht="27" customHeight="1">
      <c r="A44" s="564" t="s">
        <v>540</v>
      </c>
      <c r="B44" s="536" t="s">
        <v>126</v>
      </c>
      <c r="C44" s="537">
        <v>181111121</v>
      </c>
      <c r="D44" s="537" t="s">
        <v>127</v>
      </c>
      <c r="E44" s="537" t="s">
        <v>98</v>
      </c>
      <c r="F44" s="565">
        <f>SUM(F45:F46)</f>
        <v>36.9</v>
      </c>
      <c r="G44" s="90"/>
      <c r="H44" s="539">
        <f>F44*G44</f>
        <v>0</v>
      </c>
      <c r="I44" s="819" t="s">
        <v>738</v>
      </c>
      <c r="J44" s="505"/>
      <c r="K44" s="505"/>
      <c r="L44" s="505"/>
      <c r="M44" s="505"/>
      <c r="N44" s="505"/>
      <c r="O44" s="505"/>
      <c r="P44" s="505"/>
      <c r="Q44" s="505"/>
      <c r="R44" s="505"/>
      <c r="S44" s="505"/>
      <c r="T44" s="505"/>
      <c r="U44" s="505"/>
      <c r="V44" s="505"/>
      <c r="W44" s="505"/>
      <c r="X44" s="505"/>
      <c r="Y44" s="505"/>
      <c r="Z44" s="505"/>
      <c r="AA44" s="505"/>
      <c r="AB44" s="505"/>
      <c r="AC44" s="505"/>
      <c r="AD44" s="505"/>
      <c r="AE44" s="505"/>
      <c r="AF44" s="505"/>
      <c r="AG44" s="505"/>
      <c r="AH44" s="505"/>
      <c r="AI44" s="505"/>
      <c r="AJ44" s="505"/>
      <c r="AK44" s="505"/>
      <c r="AL44" s="505"/>
      <c r="AM44" s="505"/>
      <c r="AN44" s="505"/>
      <c r="AO44" s="505"/>
      <c r="AP44" s="505"/>
      <c r="AQ44" s="505"/>
      <c r="AR44" s="505"/>
      <c r="AS44" s="505"/>
      <c r="AT44" s="505"/>
      <c r="AU44" s="505"/>
      <c r="AV44" s="505"/>
      <c r="AW44" s="505"/>
      <c r="AX44" s="505"/>
      <c r="AY44" s="452"/>
      <c r="AZ44" s="452"/>
      <c r="BA44" s="452"/>
      <c r="BB44" s="452"/>
      <c r="BC44" s="452"/>
      <c r="BD44" s="452"/>
      <c r="BE44" s="452"/>
      <c r="BF44" s="452"/>
      <c r="BG44" s="452"/>
      <c r="BH44" s="452"/>
      <c r="BI44" s="452"/>
    </row>
    <row r="45" spans="1:61" s="541" customFormat="1" ht="13.5" customHeight="1">
      <c r="A45" s="564"/>
      <c r="B45" s="536"/>
      <c r="C45" s="537"/>
      <c r="D45" s="542" t="s">
        <v>807</v>
      </c>
      <c r="E45" s="537"/>
      <c r="F45" s="543">
        <f>34.75</f>
        <v>34.75</v>
      </c>
      <c r="G45" s="539"/>
      <c r="H45" s="539"/>
      <c r="I45" s="545"/>
      <c r="J45" s="509"/>
      <c r="K45" s="847"/>
      <c r="L45" s="509"/>
      <c r="M45" s="509"/>
      <c r="N45" s="509"/>
      <c r="O45" s="509"/>
      <c r="P45" s="509"/>
      <c r="Q45" s="509"/>
      <c r="R45" s="509"/>
      <c r="S45" s="509"/>
      <c r="T45" s="509"/>
      <c r="U45" s="509"/>
      <c r="V45" s="509"/>
      <c r="W45" s="509"/>
      <c r="X45" s="509"/>
      <c r="Y45" s="509"/>
      <c r="Z45" s="509"/>
      <c r="AA45" s="509"/>
      <c r="AB45" s="509"/>
      <c r="AC45" s="509"/>
      <c r="AD45" s="509"/>
      <c r="AE45" s="509"/>
      <c r="AF45" s="509"/>
      <c r="AG45" s="509"/>
      <c r="AH45" s="509"/>
      <c r="AI45" s="509"/>
      <c r="AJ45" s="509"/>
      <c r="AK45" s="509"/>
      <c r="AL45" s="509"/>
      <c r="AM45" s="509"/>
      <c r="AN45" s="509"/>
      <c r="AO45" s="509"/>
      <c r="AP45" s="509"/>
      <c r="AQ45" s="509"/>
      <c r="AR45" s="509"/>
      <c r="AS45" s="509"/>
      <c r="AT45" s="509"/>
      <c r="AU45" s="509"/>
      <c r="AV45" s="509"/>
      <c r="AW45" s="509"/>
      <c r="AX45" s="509"/>
      <c r="AY45" s="452"/>
      <c r="AZ45" s="452"/>
      <c r="BA45" s="452"/>
      <c r="BB45" s="452"/>
      <c r="BC45" s="452"/>
      <c r="BD45" s="452"/>
      <c r="BE45" s="452"/>
      <c r="BF45" s="452"/>
      <c r="BG45" s="452"/>
      <c r="BH45" s="452"/>
      <c r="BI45" s="452"/>
    </row>
    <row r="46" spans="1:61" s="541" customFormat="1" ht="13.5" customHeight="1">
      <c r="A46" s="564"/>
      <c r="B46" s="536"/>
      <c r="C46" s="537"/>
      <c r="D46" s="542" t="s">
        <v>641</v>
      </c>
      <c r="E46" s="537"/>
      <c r="F46" s="543">
        <f>2.15</f>
        <v>2.15</v>
      </c>
      <c r="G46" s="539"/>
      <c r="H46" s="539"/>
      <c r="I46" s="545"/>
      <c r="J46" s="509"/>
      <c r="K46" s="847"/>
      <c r="L46" s="509"/>
      <c r="M46" s="509"/>
      <c r="N46" s="509"/>
      <c r="O46" s="509"/>
      <c r="P46" s="509"/>
      <c r="Q46" s="509"/>
      <c r="R46" s="509"/>
      <c r="S46" s="509"/>
      <c r="T46" s="509"/>
      <c r="U46" s="509"/>
      <c r="V46" s="509"/>
      <c r="W46" s="509"/>
      <c r="X46" s="509"/>
      <c r="Y46" s="509"/>
      <c r="Z46" s="509"/>
      <c r="AA46" s="509"/>
      <c r="AB46" s="509"/>
      <c r="AC46" s="509"/>
      <c r="AD46" s="509"/>
      <c r="AE46" s="509"/>
      <c r="AF46" s="509"/>
      <c r="AG46" s="509"/>
      <c r="AH46" s="509"/>
      <c r="AI46" s="509"/>
      <c r="AJ46" s="509"/>
      <c r="AK46" s="509"/>
      <c r="AL46" s="509"/>
      <c r="AM46" s="509"/>
      <c r="AN46" s="509"/>
      <c r="AO46" s="509"/>
      <c r="AP46" s="509"/>
      <c r="AQ46" s="509"/>
      <c r="AR46" s="509"/>
      <c r="AS46" s="509"/>
      <c r="AT46" s="509"/>
      <c r="AU46" s="509"/>
      <c r="AV46" s="509"/>
      <c r="AW46" s="509"/>
      <c r="AX46" s="509"/>
      <c r="AY46" s="452"/>
      <c r="AZ46" s="452"/>
      <c r="BA46" s="452"/>
      <c r="BB46" s="452"/>
      <c r="BC46" s="452"/>
      <c r="BD46" s="452"/>
      <c r="BE46" s="452"/>
      <c r="BF46" s="452"/>
      <c r="BG46" s="452"/>
      <c r="BH46" s="452"/>
      <c r="BI46" s="452"/>
    </row>
    <row r="47" spans="1:61" s="541" customFormat="1" ht="13.5" customHeight="1">
      <c r="A47" s="564" t="s">
        <v>118</v>
      </c>
      <c r="B47" s="536" t="s">
        <v>96</v>
      </c>
      <c r="C47" s="537" t="s">
        <v>581</v>
      </c>
      <c r="D47" s="537" t="s">
        <v>583</v>
      </c>
      <c r="E47" s="537" t="s">
        <v>98</v>
      </c>
      <c r="F47" s="565">
        <f>SUM(F48)</f>
        <v>2.15</v>
      </c>
      <c r="G47" s="90"/>
      <c r="H47" s="539">
        <f>F47*G47</f>
        <v>0</v>
      </c>
      <c r="I47" s="545" t="s">
        <v>740</v>
      </c>
      <c r="J47" s="764"/>
      <c r="K47" s="452"/>
      <c r="L47" s="452"/>
      <c r="M47" s="452"/>
      <c r="N47" s="452"/>
      <c r="O47" s="452"/>
      <c r="P47" s="452"/>
      <c r="Q47" s="452"/>
      <c r="R47" s="452"/>
      <c r="S47" s="452"/>
      <c r="T47" s="452"/>
      <c r="U47" s="452"/>
      <c r="V47" s="452"/>
      <c r="W47" s="452"/>
      <c r="X47" s="452"/>
      <c r="Y47" s="452"/>
      <c r="Z47" s="452"/>
      <c r="AA47" s="452"/>
      <c r="AB47" s="452"/>
      <c r="AC47" s="452"/>
      <c r="AD47" s="452"/>
      <c r="AE47" s="452"/>
      <c r="AF47" s="452"/>
      <c r="AG47" s="452"/>
      <c r="AH47" s="452"/>
      <c r="AI47" s="452"/>
      <c r="AJ47" s="452"/>
      <c r="AK47" s="452"/>
      <c r="AL47" s="452"/>
      <c r="AM47" s="452"/>
      <c r="AN47" s="452"/>
      <c r="AO47" s="452"/>
      <c r="AP47" s="452"/>
      <c r="AQ47" s="452"/>
      <c r="AR47" s="452"/>
      <c r="AS47" s="452"/>
      <c r="AT47" s="452"/>
      <c r="AU47" s="452"/>
      <c r="AV47" s="452"/>
      <c r="AW47" s="452"/>
      <c r="AX47" s="452"/>
      <c r="AY47" s="452"/>
      <c r="AZ47" s="452"/>
      <c r="BA47" s="452"/>
      <c r="BB47" s="452"/>
      <c r="BC47" s="452"/>
      <c r="BD47" s="452"/>
      <c r="BE47" s="452"/>
      <c r="BF47" s="452"/>
      <c r="BG47" s="452"/>
      <c r="BH47" s="452"/>
      <c r="BI47" s="452"/>
    </row>
    <row r="48" spans="1:61" s="541" customFormat="1" ht="13.5" customHeight="1">
      <c r="A48" s="564"/>
      <c r="B48" s="536"/>
      <c r="C48" s="537"/>
      <c r="D48" s="542" t="s">
        <v>584</v>
      </c>
      <c r="E48" s="537"/>
      <c r="F48" s="543">
        <f>(2.15)*1</f>
        <v>2.15</v>
      </c>
      <c r="G48" s="539"/>
      <c r="H48" s="539"/>
      <c r="I48" s="545"/>
      <c r="J48" s="546"/>
      <c r="K48" s="567"/>
      <c r="L48" s="452"/>
      <c r="M48" s="452"/>
      <c r="N48" s="452"/>
      <c r="O48" s="452"/>
      <c r="P48" s="452"/>
      <c r="Q48" s="452"/>
      <c r="R48" s="452"/>
      <c r="S48" s="452"/>
      <c r="T48" s="452"/>
      <c r="U48" s="452"/>
      <c r="V48" s="452"/>
      <c r="W48" s="452"/>
      <c r="X48" s="452"/>
      <c r="Y48" s="452"/>
      <c r="Z48" s="452"/>
      <c r="AA48" s="452"/>
      <c r="AB48" s="452"/>
      <c r="AC48" s="452"/>
      <c r="AD48" s="452"/>
      <c r="AE48" s="452"/>
      <c r="AF48" s="452"/>
      <c r="AG48" s="452"/>
      <c r="AH48" s="452"/>
      <c r="AI48" s="452"/>
      <c r="AJ48" s="452"/>
      <c r="AK48" s="452"/>
      <c r="AL48" s="452"/>
      <c r="AM48" s="452"/>
      <c r="AN48" s="452"/>
      <c r="AO48" s="452"/>
      <c r="AP48" s="452"/>
      <c r="AQ48" s="452"/>
      <c r="AR48" s="452"/>
      <c r="AS48" s="452"/>
      <c r="AT48" s="452"/>
      <c r="AU48" s="452"/>
      <c r="AV48" s="452"/>
      <c r="AW48" s="452"/>
      <c r="AX48" s="452"/>
      <c r="AY48" s="452"/>
      <c r="AZ48" s="452"/>
      <c r="BA48" s="452"/>
      <c r="BB48" s="452"/>
      <c r="BC48" s="452"/>
      <c r="BD48" s="452"/>
      <c r="BE48" s="452"/>
      <c r="BF48" s="452"/>
      <c r="BG48" s="452"/>
      <c r="BH48" s="452"/>
      <c r="BI48" s="452"/>
    </row>
    <row r="49" spans="1:256" s="508" customFormat="1" ht="27" customHeight="1">
      <c r="A49" s="530">
        <v>19</v>
      </c>
      <c r="B49" s="700" t="s">
        <v>96</v>
      </c>
      <c r="C49" s="34" t="s">
        <v>238</v>
      </c>
      <c r="D49" s="34" t="s">
        <v>632</v>
      </c>
      <c r="E49" s="34" t="s">
        <v>122</v>
      </c>
      <c r="F49" s="534">
        <f>SUM(F50:F50)</f>
        <v>27.8</v>
      </c>
      <c r="G49" s="848">
        <f>SUM(H51:H54)/F49</f>
        <v>0</v>
      </c>
      <c r="H49" s="848">
        <f>F49*G49</f>
        <v>0</v>
      </c>
      <c r="I49" s="533" t="s">
        <v>739</v>
      </c>
      <c r="J49" s="546"/>
      <c r="K49" s="567"/>
      <c r="L49" s="578"/>
      <c r="M49" s="569"/>
      <c r="N49" s="569"/>
      <c r="O49" s="570"/>
      <c r="P49" s="571"/>
      <c r="Q49" s="572"/>
      <c r="R49" s="573"/>
      <c r="S49" s="573"/>
      <c r="T49" s="574"/>
      <c r="U49" s="452"/>
      <c r="V49" s="575"/>
      <c r="W49" s="452"/>
      <c r="X49" s="452"/>
      <c r="Y49" s="452"/>
      <c r="Z49" s="452"/>
      <c r="AA49" s="452"/>
      <c r="AB49" s="452"/>
      <c r="AC49" s="452"/>
      <c r="AD49" s="452"/>
      <c r="AE49" s="452"/>
      <c r="AF49" s="452"/>
      <c r="AG49" s="452"/>
      <c r="AH49" s="452"/>
      <c r="AI49" s="452"/>
      <c r="AJ49" s="452"/>
      <c r="AK49" s="452"/>
      <c r="AL49" s="452"/>
      <c r="AM49" s="452"/>
      <c r="AN49" s="452"/>
      <c r="AO49" s="452"/>
      <c r="AP49" s="452"/>
      <c r="AQ49" s="452"/>
      <c r="AR49" s="452"/>
      <c r="AS49" s="452"/>
      <c r="AT49" s="452"/>
      <c r="AU49" s="452"/>
      <c r="AV49" s="452"/>
      <c r="AW49" s="452"/>
      <c r="AX49" s="452"/>
      <c r="AY49" s="505"/>
      <c r="AZ49" s="505"/>
      <c r="BA49" s="505"/>
      <c r="BB49" s="505"/>
      <c r="BC49" s="505"/>
      <c r="BD49" s="505"/>
      <c r="BE49" s="505"/>
      <c r="BF49" s="505"/>
      <c r="BG49" s="505"/>
      <c r="BH49" s="505"/>
      <c r="BI49" s="505"/>
      <c r="BJ49" s="506"/>
      <c r="BK49" s="506"/>
      <c r="BL49" s="506"/>
      <c r="BM49" s="506"/>
      <c r="BN49" s="506"/>
      <c r="BO49" s="506"/>
      <c r="BP49" s="506"/>
      <c r="BQ49" s="506"/>
      <c r="BR49" s="506"/>
      <c r="BS49" s="506"/>
      <c r="BT49" s="506"/>
      <c r="BU49" s="506"/>
      <c r="BV49" s="506"/>
      <c r="BW49" s="506"/>
      <c r="BX49" s="506"/>
      <c r="BY49" s="506"/>
      <c r="BZ49" s="506"/>
      <c r="CA49" s="506"/>
      <c r="CB49" s="506"/>
      <c r="CC49" s="506"/>
      <c r="CD49" s="506"/>
      <c r="CE49" s="506"/>
      <c r="CF49" s="506"/>
      <c r="CG49" s="506"/>
      <c r="CH49" s="506"/>
      <c r="CI49" s="506"/>
      <c r="CJ49" s="506"/>
      <c r="CK49" s="506"/>
      <c r="CL49" s="506"/>
      <c r="CM49" s="506"/>
      <c r="CN49" s="506"/>
      <c r="CO49" s="506"/>
      <c r="CP49" s="506"/>
      <c r="CQ49" s="506"/>
      <c r="CR49" s="506"/>
      <c r="CS49" s="506"/>
      <c r="CT49" s="506"/>
      <c r="CU49" s="506"/>
      <c r="CV49" s="506"/>
      <c r="CW49" s="506"/>
      <c r="CX49" s="506"/>
      <c r="CY49" s="506"/>
      <c r="CZ49" s="506"/>
      <c r="DA49" s="506"/>
      <c r="DB49" s="506"/>
      <c r="DC49" s="506"/>
      <c r="DD49" s="506"/>
      <c r="DE49" s="506"/>
      <c r="DF49" s="506"/>
      <c r="DG49" s="506"/>
      <c r="DH49" s="506"/>
      <c r="DI49" s="506"/>
      <c r="DJ49" s="506"/>
      <c r="DK49" s="506"/>
      <c r="DL49" s="506"/>
      <c r="DM49" s="506"/>
      <c r="DN49" s="506"/>
      <c r="DO49" s="506"/>
      <c r="DP49" s="506"/>
      <c r="DQ49" s="506"/>
      <c r="DR49" s="506"/>
      <c r="DS49" s="506"/>
      <c r="DT49" s="506"/>
      <c r="DU49" s="506"/>
      <c r="DV49" s="506"/>
      <c r="DW49" s="506"/>
      <c r="DX49" s="506"/>
      <c r="DY49" s="506"/>
      <c r="DZ49" s="506"/>
      <c r="EA49" s="506"/>
      <c r="EB49" s="506"/>
      <c r="EC49" s="506"/>
      <c r="ED49" s="506"/>
      <c r="EE49" s="506"/>
      <c r="EF49" s="506"/>
      <c r="EG49" s="506"/>
      <c r="EH49" s="506"/>
      <c r="EI49" s="506"/>
      <c r="EJ49" s="506"/>
      <c r="EK49" s="506"/>
      <c r="EL49" s="506"/>
      <c r="EM49" s="506"/>
      <c r="EN49" s="506"/>
      <c r="EO49" s="506"/>
      <c r="EP49" s="506"/>
      <c r="EQ49" s="506"/>
      <c r="ER49" s="506"/>
      <c r="ES49" s="506"/>
      <c r="ET49" s="506"/>
      <c r="EU49" s="506"/>
      <c r="EV49" s="506"/>
      <c r="EW49" s="506"/>
      <c r="EX49" s="506"/>
      <c r="EY49" s="506"/>
      <c r="EZ49" s="506"/>
      <c r="FA49" s="506"/>
      <c r="FB49" s="506"/>
      <c r="FC49" s="506"/>
      <c r="FD49" s="506"/>
      <c r="FE49" s="506"/>
      <c r="FF49" s="506"/>
      <c r="FG49" s="506"/>
      <c r="FH49" s="506"/>
      <c r="FI49" s="506"/>
      <c r="FJ49" s="506"/>
      <c r="FK49" s="506"/>
      <c r="FL49" s="506"/>
      <c r="FM49" s="506"/>
      <c r="FN49" s="506"/>
      <c r="FO49" s="506"/>
      <c r="FP49" s="506"/>
      <c r="FQ49" s="506"/>
      <c r="FR49" s="506"/>
      <c r="FS49" s="506"/>
      <c r="FT49" s="506"/>
      <c r="FU49" s="506"/>
      <c r="FV49" s="506"/>
      <c r="FW49" s="506"/>
      <c r="FX49" s="506"/>
      <c r="FY49" s="506"/>
      <c r="FZ49" s="506"/>
      <c r="GA49" s="506"/>
      <c r="GB49" s="506"/>
      <c r="GC49" s="506"/>
      <c r="GD49" s="506"/>
      <c r="GE49" s="506"/>
      <c r="GF49" s="506"/>
      <c r="GG49" s="506"/>
      <c r="GH49" s="506"/>
      <c r="GI49" s="506"/>
      <c r="GJ49" s="506"/>
      <c r="GK49" s="506"/>
      <c r="GL49" s="506"/>
      <c r="GM49" s="506"/>
      <c r="GN49" s="506"/>
      <c r="GO49" s="506"/>
      <c r="GP49" s="506"/>
      <c r="GQ49" s="506"/>
      <c r="GR49" s="506"/>
      <c r="GS49" s="506"/>
      <c r="GT49" s="506"/>
      <c r="GU49" s="506"/>
      <c r="GV49" s="506"/>
      <c r="GW49" s="506"/>
      <c r="GX49" s="506"/>
      <c r="GY49" s="506"/>
      <c r="GZ49" s="506"/>
      <c r="HA49" s="506"/>
      <c r="HB49" s="506"/>
      <c r="HC49" s="506"/>
      <c r="HD49" s="506"/>
      <c r="HE49" s="506"/>
      <c r="HF49" s="506"/>
      <c r="HG49" s="506"/>
      <c r="HH49" s="506"/>
      <c r="HI49" s="506"/>
      <c r="HJ49" s="506"/>
      <c r="HK49" s="506"/>
      <c r="HL49" s="506"/>
      <c r="HM49" s="506"/>
      <c r="HN49" s="506"/>
      <c r="HO49" s="506"/>
      <c r="HP49" s="506"/>
      <c r="HQ49" s="506"/>
      <c r="HR49" s="506"/>
      <c r="HS49" s="506"/>
      <c r="HT49" s="506"/>
      <c r="HU49" s="506"/>
      <c r="HV49" s="506"/>
      <c r="HW49" s="506"/>
      <c r="HX49" s="506"/>
      <c r="HY49" s="506"/>
      <c r="HZ49" s="506"/>
      <c r="IA49" s="506"/>
      <c r="IB49" s="506"/>
      <c r="IC49" s="506"/>
      <c r="ID49" s="506"/>
      <c r="IE49" s="506"/>
      <c r="IF49" s="506"/>
      <c r="IG49" s="506"/>
      <c r="IH49" s="506"/>
      <c r="II49" s="506"/>
      <c r="IJ49" s="506"/>
      <c r="IK49" s="506"/>
      <c r="IL49" s="506"/>
      <c r="IM49" s="506"/>
      <c r="IN49" s="506"/>
      <c r="IO49" s="506"/>
      <c r="IP49" s="506"/>
      <c r="IQ49" s="506"/>
      <c r="IR49" s="506"/>
      <c r="IS49" s="506"/>
      <c r="IT49" s="506"/>
      <c r="IU49" s="506"/>
      <c r="IV49" s="506"/>
    </row>
    <row r="50" spans="1:256" s="508" customFormat="1" ht="13.5" customHeight="1">
      <c r="A50" s="849"/>
      <c r="B50" s="850"/>
      <c r="C50" s="851"/>
      <c r="D50" s="36" t="s">
        <v>808</v>
      </c>
      <c r="E50" s="36"/>
      <c r="F50" s="548">
        <f>27.8</f>
        <v>27.8</v>
      </c>
      <c r="G50" s="848"/>
      <c r="H50" s="848"/>
      <c r="I50" s="697"/>
      <c r="J50" s="628"/>
      <c r="K50" s="580"/>
      <c r="L50" s="581"/>
      <c r="M50" s="582"/>
      <c r="N50" s="582"/>
      <c r="O50" s="583"/>
      <c r="P50" s="582"/>
      <c r="Q50" s="584"/>
      <c r="R50" s="585"/>
      <c r="S50" s="586"/>
      <c r="T50" s="452"/>
      <c r="U50" s="452"/>
      <c r="V50" s="452"/>
      <c r="W50" s="587"/>
      <c r="X50" s="452"/>
      <c r="Y50" s="452"/>
      <c r="Z50" s="452"/>
      <c r="AA50" s="452"/>
      <c r="AB50" s="452"/>
      <c r="AC50" s="452"/>
      <c r="AD50" s="452"/>
      <c r="AE50" s="452"/>
      <c r="AF50" s="452"/>
      <c r="AG50" s="452"/>
      <c r="AH50" s="452"/>
      <c r="AI50" s="452"/>
      <c r="AJ50" s="452"/>
      <c r="AK50" s="452"/>
      <c r="AL50" s="452"/>
      <c r="AM50" s="452"/>
      <c r="AN50" s="452"/>
      <c r="AO50" s="452"/>
      <c r="AP50" s="452"/>
      <c r="AQ50" s="452"/>
      <c r="AR50" s="452"/>
      <c r="AS50" s="452"/>
      <c r="AT50" s="452"/>
      <c r="AU50" s="452"/>
      <c r="AV50" s="452"/>
      <c r="AW50" s="452"/>
      <c r="AX50" s="452"/>
      <c r="AY50" s="505"/>
      <c r="AZ50" s="505"/>
      <c r="BA50" s="505"/>
      <c r="BB50" s="505"/>
      <c r="BC50" s="505"/>
      <c r="BD50" s="505"/>
      <c r="BE50" s="505"/>
      <c r="BF50" s="505"/>
      <c r="BG50" s="505"/>
      <c r="BH50" s="505"/>
      <c r="BI50" s="505"/>
      <c r="BJ50" s="506"/>
      <c r="BK50" s="506"/>
      <c r="BL50" s="506"/>
      <c r="BM50" s="506"/>
      <c r="BN50" s="506"/>
      <c r="BO50" s="506"/>
      <c r="BP50" s="506"/>
      <c r="BQ50" s="506"/>
      <c r="BR50" s="506"/>
      <c r="BS50" s="506"/>
      <c r="BT50" s="506"/>
      <c r="BU50" s="506"/>
      <c r="BV50" s="506"/>
      <c r="BW50" s="506"/>
      <c r="BX50" s="506"/>
      <c r="BY50" s="506"/>
      <c r="BZ50" s="506"/>
      <c r="CA50" s="506"/>
      <c r="CB50" s="506"/>
      <c r="CC50" s="506"/>
      <c r="CD50" s="506"/>
      <c r="CE50" s="506"/>
      <c r="CF50" s="506"/>
      <c r="CG50" s="506"/>
      <c r="CH50" s="506"/>
      <c r="CI50" s="506"/>
      <c r="CJ50" s="506"/>
      <c r="CK50" s="506"/>
      <c r="CL50" s="506"/>
      <c r="CM50" s="506"/>
      <c r="CN50" s="506"/>
      <c r="CO50" s="506"/>
      <c r="CP50" s="506"/>
      <c r="CQ50" s="506"/>
      <c r="CR50" s="506"/>
      <c r="CS50" s="506"/>
      <c r="CT50" s="506"/>
      <c r="CU50" s="506"/>
      <c r="CV50" s="506"/>
      <c r="CW50" s="506"/>
      <c r="CX50" s="506"/>
      <c r="CY50" s="506"/>
      <c r="CZ50" s="506"/>
      <c r="DA50" s="506"/>
      <c r="DB50" s="506"/>
      <c r="DC50" s="506"/>
      <c r="DD50" s="506"/>
      <c r="DE50" s="506"/>
      <c r="DF50" s="506"/>
      <c r="DG50" s="506"/>
      <c r="DH50" s="506"/>
      <c r="DI50" s="506"/>
      <c r="DJ50" s="506"/>
      <c r="DK50" s="506"/>
      <c r="DL50" s="506"/>
      <c r="DM50" s="506"/>
      <c r="DN50" s="506"/>
      <c r="DO50" s="506"/>
      <c r="DP50" s="506"/>
      <c r="DQ50" s="506"/>
      <c r="DR50" s="506"/>
      <c r="DS50" s="506"/>
      <c r="DT50" s="506"/>
      <c r="DU50" s="506"/>
      <c r="DV50" s="506"/>
      <c r="DW50" s="506"/>
      <c r="DX50" s="506"/>
      <c r="DY50" s="506"/>
      <c r="DZ50" s="506"/>
      <c r="EA50" s="506"/>
      <c r="EB50" s="506"/>
      <c r="EC50" s="506"/>
      <c r="ED50" s="506"/>
      <c r="EE50" s="506"/>
      <c r="EF50" s="506"/>
      <c r="EG50" s="506"/>
      <c r="EH50" s="506"/>
      <c r="EI50" s="506"/>
      <c r="EJ50" s="506"/>
      <c r="EK50" s="506"/>
      <c r="EL50" s="506"/>
      <c r="EM50" s="506"/>
      <c r="EN50" s="506"/>
      <c r="EO50" s="506"/>
      <c r="EP50" s="506"/>
      <c r="EQ50" s="506"/>
      <c r="ER50" s="506"/>
      <c r="ES50" s="506"/>
      <c r="ET50" s="506"/>
      <c r="EU50" s="506"/>
      <c r="EV50" s="506"/>
      <c r="EW50" s="506"/>
      <c r="EX50" s="506"/>
      <c r="EY50" s="506"/>
      <c r="EZ50" s="506"/>
      <c r="FA50" s="506"/>
      <c r="FB50" s="506"/>
      <c r="FC50" s="506"/>
      <c r="FD50" s="506"/>
      <c r="FE50" s="506"/>
      <c r="FF50" s="506"/>
      <c r="FG50" s="506"/>
      <c r="FH50" s="506"/>
      <c r="FI50" s="506"/>
      <c r="FJ50" s="506"/>
      <c r="FK50" s="506"/>
      <c r="FL50" s="506"/>
      <c r="FM50" s="506"/>
      <c r="FN50" s="506"/>
      <c r="FO50" s="506"/>
      <c r="FP50" s="506"/>
      <c r="FQ50" s="506"/>
      <c r="FR50" s="506"/>
      <c r="FS50" s="506"/>
      <c r="FT50" s="506"/>
      <c r="FU50" s="506"/>
      <c r="FV50" s="506"/>
      <c r="FW50" s="506"/>
      <c r="FX50" s="506"/>
      <c r="FY50" s="506"/>
      <c r="FZ50" s="506"/>
      <c r="GA50" s="506"/>
      <c r="GB50" s="506"/>
      <c r="GC50" s="506"/>
      <c r="GD50" s="506"/>
      <c r="GE50" s="506"/>
      <c r="GF50" s="506"/>
      <c r="GG50" s="506"/>
      <c r="GH50" s="506"/>
      <c r="GI50" s="506"/>
      <c r="GJ50" s="506"/>
      <c r="GK50" s="506"/>
      <c r="GL50" s="506"/>
      <c r="GM50" s="506"/>
      <c r="GN50" s="506"/>
      <c r="GO50" s="506"/>
      <c r="GP50" s="506"/>
      <c r="GQ50" s="506"/>
      <c r="GR50" s="506"/>
      <c r="GS50" s="506"/>
      <c r="GT50" s="506"/>
      <c r="GU50" s="506"/>
      <c r="GV50" s="506"/>
      <c r="GW50" s="506"/>
      <c r="GX50" s="506"/>
      <c r="GY50" s="506"/>
      <c r="GZ50" s="506"/>
      <c r="HA50" s="506"/>
      <c r="HB50" s="506"/>
      <c r="HC50" s="506"/>
      <c r="HD50" s="506"/>
      <c r="HE50" s="506"/>
      <c r="HF50" s="506"/>
      <c r="HG50" s="506"/>
      <c r="HH50" s="506"/>
      <c r="HI50" s="506"/>
      <c r="HJ50" s="506"/>
      <c r="HK50" s="506"/>
      <c r="HL50" s="506"/>
      <c r="HM50" s="506"/>
      <c r="HN50" s="506"/>
      <c r="HO50" s="506"/>
      <c r="HP50" s="506"/>
      <c r="HQ50" s="506"/>
      <c r="HR50" s="506"/>
      <c r="HS50" s="506"/>
      <c r="HT50" s="506"/>
      <c r="HU50" s="506"/>
      <c r="HV50" s="506"/>
      <c r="HW50" s="506"/>
      <c r="HX50" s="506"/>
      <c r="HY50" s="506"/>
      <c r="HZ50" s="506"/>
      <c r="IA50" s="506"/>
      <c r="IB50" s="506"/>
      <c r="IC50" s="506"/>
      <c r="ID50" s="506"/>
      <c r="IE50" s="506"/>
      <c r="IF50" s="506"/>
      <c r="IG50" s="506"/>
      <c r="IH50" s="506"/>
      <c r="II50" s="506"/>
      <c r="IJ50" s="506"/>
      <c r="IK50" s="506"/>
      <c r="IL50" s="506"/>
      <c r="IM50" s="506"/>
      <c r="IN50" s="506"/>
      <c r="IO50" s="506"/>
      <c r="IP50" s="506"/>
      <c r="IQ50" s="506"/>
      <c r="IR50" s="506"/>
      <c r="IS50" s="506"/>
      <c r="IT50" s="506"/>
      <c r="IU50" s="506"/>
      <c r="IV50" s="506"/>
    </row>
    <row r="51" spans="1:256" s="508" customFormat="1" ht="13.5" customHeight="1">
      <c r="A51" s="852" t="s">
        <v>588</v>
      </c>
      <c r="B51" s="34"/>
      <c r="C51" s="445">
        <v>167151101</v>
      </c>
      <c r="D51" s="36" t="s">
        <v>162</v>
      </c>
      <c r="E51" s="445" t="s">
        <v>122</v>
      </c>
      <c r="F51" s="548">
        <f>F49</f>
        <v>27.8</v>
      </c>
      <c r="G51" s="132"/>
      <c r="H51" s="853">
        <f>F51*G51</f>
        <v>0</v>
      </c>
      <c r="I51" s="449" t="s">
        <v>738</v>
      </c>
      <c r="J51" s="854"/>
      <c r="K51" s="509"/>
      <c r="L51" s="505"/>
      <c r="M51" s="505"/>
      <c r="N51" s="505"/>
      <c r="O51" s="505"/>
      <c r="P51" s="855"/>
      <c r="Q51" s="505"/>
      <c r="R51" s="505"/>
      <c r="S51" s="855"/>
      <c r="T51" s="505"/>
      <c r="U51" s="505"/>
      <c r="V51" s="505"/>
      <c r="W51" s="505"/>
      <c r="X51" s="505"/>
      <c r="Y51" s="505"/>
      <c r="Z51" s="452"/>
      <c r="AA51" s="452"/>
      <c r="AB51" s="452"/>
      <c r="AC51" s="452"/>
      <c r="AD51" s="452"/>
      <c r="AE51" s="452"/>
      <c r="AF51" s="452"/>
      <c r="AG51" s="452"/>
      <c r="AH51" s="452"/>
      <c r="AI51" s="452"/>
      <c r="AJ51" s="452"/>
      <c r="AK51" s="452"/>
      <c r="AL51" s="452"/>
      <c r="AM51" s="452"/>
      <c r="AN51" s="452"/>
      <c r="AO51" s="452"/>
      <c r="AP51" s="452"/>
      <c r="AQ51" s="452"/>
      <c r="AR51" s="452"/>
      <c r="AS51" s="452"/>
      <c r="AT51" s="452"/>
      <c r="AU51" s="452"/>
      <c r="AV51" s="452"/>
      <c r="AW51" s="452"/>
      <c r="AX51" s="452"/>
      <c r="AY51" s="505"/>
      <c r="AZ51" s="505"/>
      <c r="BA51" s="505"/>
      <c r="BB51" s="505"/>
      <c r="BC51" s="505"/>
      <c r="BD51" s="505"/>
      <c r="BE51" s="505"/>
      <c r="BF51" s="505"/>
      <c r="BG51" s="505"/>
      <c r="BH51" s="505"/>
      <c r="BI51" s="505"/>
      <c r="BJ51" s="506"/>
      <c r="BK51" s="506"/>
      <c r="BL51" s="506"/>
      <c r="BM51" s="506"/>
      <c r="BN51" s="506"/>
      <c r="BO51" s="506"/>
      <c r="BP51" s="506"/>
      <c r="BQ51" s="506"/>
      <c r="BR51" s="506"/>
      <c r="BS51" s="506"/>
      <c r="BT51" s="506"/>
      <c r="BU51" s="506"/>
      <c r="BV51" s="506"/>
      <c r="BW51" s="506"/>
      <c r="BX51" s="506"/>
      <c r="BY51" s="506"/>
      <c r="BZ51" s="506"/>
      <c r="CA51" s="506"/>
      <c r="CB51" s="506"/>
      <c r="CC51" s="506"/>
      <c r="CD51" s="506"/>
      <c r="CE51" s="506"/>
      <c r="CF51" s="506"/>
      <c r="CG51" s="506"/>
      <c r="CH51" s="506"/>
      <c r="CI51" s="506"/>
      <c r="CJ51" s="506"/>
      <c r="CK51" s="506"/>
      <c r="CL51" s="506"/>
      <c r="CM51" s="506"/>
      <c r="CN51" s="506"/>
      <c r="CO51" s="506"/>
      <c r="CP51" s="506"/>
      <c r="CQ51" s="506"/>
      <c r="CR51" s="506"/>
      <c r="CS51" s="506"/>
      <c r="CT51" s="506"/>
      <c r="CU51" s="506"/>
      <c r="CV51" s="506"/>
      <c r="CW51" s="506"/>
      <c r="CX51" s="506"/>
      <c r="CY51" s="506"/>
      <c r="CZ51" s="506"/>
      <c r="DA51" s="506"/>
      <c r="DB51" s="506"/>
      <c r="DC51" s="506"/>
      <c r="DD51" s="506"/>
      <c r="DE51" s="506"/>
      <c r="DF51" s="506"/>
      <c r="DG51" s="506"/>
      <c r="DH51" s="506"/>
      <c r="DI51" s="506"/>
      <c r="DJ51" s="506"/>
      <c r="DK51" s="506"/>
      <c r="DL51" s="506"/>
      <c r="DM51" s="506"/>
      <c r="DN51" s="506"/>
      <c r="DO51" s="506"/>
      <c r="DP51" s="506"/>
      <c r="DQ51" s="506"/>
      <c r="DR51" s="506"/>
      <c r="DS51" s="506"/>
      <c r="DT51" s="506"/>
      <c r="DU51" s="506"/>
      <c r="DV51" s="506"/>
      <c r="DW51" s="506"/>
      <c r="DX51" s="506"/>
      <c r="DY51" s="506"/>
      <c r="DZ51" s="506"/>
      <c r="EA51" s="506"/>
      <c r="EB51" s="506"/>
      <c r="EC51" s="506"/>
      <c r="ED51" s="506"/>
      <c r="EE51" s="506"/>
      <c r="EF51" s="506"/>
      <c r="EG51" s="506"/>
      <c r="EH51" s="506"/>
      <c r="EI51" s="506"/>
      <c r="EJ51" s="506"/>
      <c r="EK51" s="506"/>
      <c r="EL51" s="506"/>
      <c r="EM51" s="506"/>
      <c r="EN51" s="506"/>
      <c r="EO51" s="506"/>
      <c r="EP51" s="506"/>
      <c r="EQ51" s="506"/>
      <c r="ER51" s="506"/>
      <c r="ES51" s="506"/>
      <c r="ET51" s="506"/>
      <c r="EU51" s="506"/>
      <c r="EV51" s="506"/>
      <c r="EW51" s="506"/>
      <c r="EX51" s="506"/>
      <c r="EY51" s="506"/>
      <c r="EZ51" s="506"/>
      <c r="FA51" s="506"/>
      <c r="FB51" s="506"/>
      <c r="FC51" s="506"/>
      <c r="FD51" s="506"/>
      <c r="FE51" s="506"/>
      <c r="FF51" s="506"/>
      <c r="FG51" s="506"/>
      <c r="FH51" s="506"/>
      <c r="FI51" s="506"/>
      <c r="FJ51" s="506"/>
      <c r="FK51" s="506"/>
      <c r="FL51" s="506"/>
      <c r="FM51" s="506"/>
      <c r="FN51" s="506"/>
      <c r="FO51" s="506"/>
      <c r="FP51" s="506"/>
      <c r="FQ51" s="506"/>
      <c r="FR51" s="506"/>
      <c r="FS51" s="506"/>
      <c r="FT51" s="506"/>
      <c r="FU51" s="506"/>
      <c r="FV51" s="506"/>
      <c r="FW51" s="506"/>
      <c r="FX51" s="506"/>
      <c r="FY51" s="506"/>
      <c r="FZ51" s="506"/>
      <c r="GA51" s="506"/>
      <c r="GB51" s="506"/>
      <c r="GC51" s="506"/>
      <c r="GD51" s="506"/>
      <c r="GE51" s="506"/>
      <c r="GF51" s="506"/>
      <c r="GG51" s="506"/>
      <c r="GH51" s="506"/>
      <c r="GI51" s="506"/>
      <c r="GJ51" s="506"/>
      <c r="GK51" s="506"/>
      <c r="GL51" s="506"/>
      <c r="GM51" s="506"/>
      <c r="GN51" s="506"/>
      <c r="GO51" s="506"/>
      <c r="GP51" s="506"/>
      <c r="GQ51" s="506"/>
      <c r="GR51" s="506"/>
      <c r="GS51" s="506"/>
      <c r="GT51" s="506"/>
      <c r="GU51" s="506"/>
      <c r="GV51" s="506"/>
      <c r="GW51" s="506"/>
      <c r="GX51" s="506"/>
      <c r="GY51" s="506"/>
      <c r="GZ51" s="506"/>
      <c r="HA51" s="506"/>
      <c r="HB51" s="506"/>
      <c r="HC51" s="506"/>
      <c r="HD51" s="506"/>
      <c r="HE51" s="506"/>
      <c r="HF51" s="506"/>
      <c r="HG51" s="506"/>
      <c r="HH51" s="506"/>
      <c r="HI51" s="506"/>
      <c r="HJ51" s="506"/>
      <c r="HK51" s="506"/>
      <c r="HL51" s="506"/>
      <c r="HM51" s="506"/>
      <c r="HN51" s="506"/>
      <c r="HO51" s="506"/>
      <c r="HP51" s="506"/>
      <c r="HQ51" s="506"/>
      <c r="HR51" s="506"/>
      <c r="HS51" s="506"/>
      <c r="HT51" s="506"/>
      <c r="HU51" s="506"/>
      <c r="HV51" s="506"/>
      <c r="HW51" s="506"/>
      <c r="HX51" s="506"/>
      <c r="HY51" s="506"/>
      <c r="HZ51" s="506"/>
      <c r="IA51" s="506"/>
      <c r="IB51" s="506"/>
      <c r="IC51" s="506"/>
      <c r="ID51" s="506"/>
      <c r="IE51" s="506"/>
      <c r="IF51" s="506"/>
      <c r="IG51" s="506"/>
      <c r="IH51" s="506"/>
      <c r="II51" s="506"/>
      <c r="IJ51" s="506"/>
      <c r="IK51" s="506"/>
      <c r="IL51" s="506"/>
      <c r="IM51" s="506"/>
      <c r="IN51" s="506"/>
      <c r="IO51" s="506"/>
      <c r="IP51" s="506"/>
      <c r="IQ51" s="506"/>
      <c r="IR51" s="506"/>
      <c r="IS51" s="506"/>
      <c r="IT51" s="506"/>
      <c r="IU51" s="506"/>
      <c r="IV51" s="506"/>
    </row>
    <row r="52" spans="1:256" s="508" customFormat="1" ht="27" customHeight="1">
      <c r="A52" s="852" t="s">
        <v>589</v>
      </c>
      <c r="B52" s="34"/>
      <c r="C52" s="445">
        <v>162751113</v>
      </c>
      <c r="D52" s="36" t="s">
        <v>163</v>
      </c>
      <c r="E52" s="445" t="s">
        <v>122</v>
      </c>
      <c r="F52" s="548">
        <f>F51</f>
        <v>27.8</v>
      </c>
      <c r="G52" s="132"/>
      <c r="H52" s="853">
        <f>F52*G52</f>
        <v>0</v>
      </c>
      <c r="I52" s="449" t="s">
        <v>738</v>
      </c>
      <c r="J52" s="856"/>
      <c r="K52" s="857"/>
      <c r="L52" s="661"/>
      <c r="M52" s="661"/>
      <c r="N52" s="661"/>
      <c r="O52" s="661"/>
      <c r="P52" s="661"/>
      <c r="Q52" s="661"/>
      <c r="R52" s="661"/>
      <c r="S52" s="858"/>
      <c r="T52" s="857"/>
      <c r="U52" s="505"/>
      <c r="V52" s="505"/>
      <c r="W52" s="505"/>
      <c r="X52" s="505"/>
      <c r="Y52" s="505"/>
      <c r="Z52" s="452"/>
      <c r="AA52" s="452"/>
      <c r="AB52" s="452"/>
      <c r="AC52" s="452"/>
      <c r="AD52" s="452"/>
      <c r="AE52" s="452"/>
      <c r="AF52" s="452"/>
      <c r="AG52" s="452"/>
      <c r="AH52" s="452"/>
      <c r="AI52" s="452"/>
      <c r="AJ52" s="452"/>
      <c r="AK52" s="452"/>
      <c r="AL52" s="452"/>
      <c r="AM52" s="452"/>
      <c r="AN52" s="452"/>
      <c r="AO52" s="452"/>
      <c r="AP52" s="452"/>
      <c r="AQ52" s="452"/>
      <c r="AR52" s="452"/>
      <c r="AS52" s="452"/>
      <c r="AT52" s="452"/>
      <c r="AU52" s="452"/>
      <c r="AV52" s="452"/>
      <c r="AW52" s="452"/>
      <c r="AX52" s="452"/>
      <c r="AY52" s="505"/>
      <c r="AZ52" s="505"/>
      <c r="BA52" s="505"/>
      <c r="BB52" s="505"/>
      <c r="BC52" s="505"/>
      <c r="BD52" s="505"/>
      <c r="BE52" s="505"/>
      <c r="BF52" s="505"/>
      <c r="BG52" s="505"/>
      <c r="BH52" s="505"/>
      <c r="BI52" s="505"/>
      <c r="BJ52" s="506"/>
      <c r="BK52" s="506"/>
      <c r="BL52" s="506"/>
      <c r="BM52" s="506"/>
      <c r="BN52" s="506"/>
      <c r="BO52" s="506"/>
      <c r="BP52" s="506"/>
      <c r="BQ52" s="506"/>
      <c r="BR52" s="506"/>
      <c r="BS52" s="506"/>
      <c r="BT52" s="506"/>
      <c r="BU52" s="506"/>
      <c r="BV52" s="506"/>
      <c r="BW52" s="506"/>
      <c r="BX52" s="506"/>
      <c r="BY52" s="506"/>
      <c r="BZ52" s="506"/>
      <c r="CA52" s="506"/>
      <c r="CB52" s="506"/>
      <c r="CC52" s="506"/>
      <c r="CD52" s="506"/>
      <c r="CE52" s="506"/>
      <c r="CF52" s="506"/>
      <c r="CG52" s="506"/>
      <c r="CH52" s="506"/>
      <c r="CI52" s="506"/>
      <c r="CJ52" s="506"/>
      <c r="CK52" s="506"/>
      <c r="CL52" s="506"/>
      <c r="CM52" s="506"/>
      <c r="CN52" s="506"/>
      <c r="CO52" s="506"/>
      <c r="CP52" s="506"/>
      <c r="CQ52" s="506"/>
      <c r="CR52" s="506"/>
      <c r="CS52" s="506"/>
      <c r="CT52" s="506"/>
      <c r="CU52" s="506"/>
      <c r="CV52" s="506"/>
      <c r="CW52" s="506"/>
      <c r="CX52" s="506"/>
      <c r="CY52" s="506"/>
      <c r="CZ52" s="506"/>
      <c r="DA52" s="506"/>
      <c r="DB52" s="506"/>
      <c r="DC52" s="506"/>
      <c r="DD52" s="506"/>
      <c r="DE52" s="506"/>
      <c r="DF52" s="506"/>
      <c r="DG52" s="506"/>
      <c r="DH52" s="506"/>
      <c r="DI52" s="506"/>
      <c r="DJ52" s="506"/>
      <c r="DK52" s="506"/>
      <c r="DL52" s="506"/>
      <c r="DM52" s="506"/>
      <c r="DN52" s="506"/>
      <c r="DO52" s="506"/>
      <c r="DP52" s="506"/>
      <c r="DQ52" s="506"/>
      <c r="DR52" s="506"/>
      <c r="DS52" s="506"/>
      <c r="DT52" s="506"/>
      <c r="DU52" s="506"/>
      <c r="DV52" s="506"/>
      <c r="DW52" s="506"/>
      <c r="DX52" s="506"/>
      <c r="DY52" s="506"/>
      <c r="DZ52" s="506"/>
      <c r="EA52" s="506"/>
      <c r="EB52" s="506"/>
      <c r="EC52" s="506"/>
      <c r="ED52" s="506"/>
      <c r="EE52" s="506"/>
      <c r="EF52" s="506"/>
      <c r="EG52" s="506"/>
      <c r="EH52" s="506"/>
      <c r="EI52" s="506"/>
      <c r="EJ52" s="506"/>
      <c r="EK52" s="506"/>
      <c r="EL52" s="506"/>
      <c r="EM52" s="506"/>
      <c r="EN52" s="506"/>
      <c r="EO52" s="506"/>
      <c r="EP52" s="506"/>
      <c r="EQ52" s="506"/>
      <c r="ER52" s="506"/>
      <c r="ES52" s="506"/>
      <c r="ET52" s="506"/>
      <c r="EU52" s="506"/>
      <c r="EV52" s="506"/>
      <c r="EW52" s="506"/>
      <c r="EX52" s="506"/>
      <c r="EY52" s="506"/>
      <c r="EZ52" s="506"/>
      <c r="FA52" s="506"/>
      <c r="FB52" s="506"/>
      <c r="FC52" s="506"/>
      <c r="FD52" s="506"/>
      <c r="FE52" s="506"/>
      <c r="FF52" s="506"/>
      <c r="FG52" s="506"/>
      <c r="FH52" s="506"/>
      <c r="FI52" s="506"/>
      <c r="FJ52" s="506"/>
      <c r="FK52" s="506"/>
      <c r="FL52" s="506"/>
      <c r="FM52" s="506"/>
      <c r="FN52" s="506"/>
      <c r="FO52" s="506"/>
      <c r="FP52" s="506"/>
      <c r="FQ52" s="506"/>
      <c r="FR52" s="506"/>
      <c r="FS52" s="506"/>
      <c r="FT52" s="506"/>
      <c r="FU52" s="506"/>
      <c r="FV52" s="506"/>
      <c r="FW52" s="506"/>
      <c r="FX52" s="506"/>
      <c r="FY52" s="506"/>
      <c r="FZ52" s="506"/>
      <c r="GA52" s="506"/>
      <c r="GB52" s="506"/>
      <c r="GC52" s="506"/>
      <c r="GD52" s="506"/>
      <c r="GE52" s="506"/>
      <c r="GF52" s="506"/>
      <c r="GG52" s="506"/>
      <c r="GH52" s="506"/>
      <c r="GI52" s="506"/>
      <c r="GJ52" s="506"/>
      <c r="GK52" s="506"/>
      <c r="GL52" s="506"/>
      <c r="GM52" s="506"/>
      <c r="GN52" s="506"/>
      <c r="GO52" s="506"/>
      <c r="GP52" s="506"/>
      <c r="GQ52" s="506"/>
      <c r="GR52" s="506"/>
      <c r="GS52" s="506"/>
      <c r="GT52" s="506"/>
      <c r="GU52" s="506"/>
      <c r="GV52" s="506"/>
      <c r="GW52" s="506"/>
      <c r="GX52" s="506"/>
      <c r="GY52" s="506"/>
      <c r="GZ52" s="506"/>
      <c r="HA52" s="506"/>
      <c r="HB52" s="506"/>
      <c r="HC52" s="506"/>
      <c r="HD52" s="506"/>
      <c r="HE52" s="506"/>
      <c r="HF52" s="506"/>
      <c r="HG52" s="506"/>
      <c r="HH52" s="506"/>
      <c r="HI52" s="506"/>
      <c r="HJ52" s="506"/>
      <c r="HK52" s="506"/>
      <c r="HL52" s="506"/>
      <c r="HM52" s="506"/>
      <c r="HN52" s="506"/>
      <c r="HO52" s="506"/>
      <c r="HP52" s="506"/>
      <c r="HQ52" s="506"/>
      <c r="HR52" s="506"/>
      <c r="HS52" s="506"/>
      <c r="HT52" s="506"/>
      <c r="HU52" s="506"/>
      <c r="HV52" s="506"/>
      <c r="HW52" s="506"/>
      <c r="HX52" s="506"/>
      <c r="HY52" s="506"/>
      <c r="HZ52" s="506"/>
      <c r="IA52" s="506"/>
      <c r="IB52" s="506"/>
      <c r="IC52" s="506"/>
      <c r="ID52" s="506"/>
      <c r="IE52" s="506"/>
      <c r="IF52" s="506"/>
      <c r="IG52" s="506"/>
      <c r="IH52" s="506"/>
      <c r="II52" s="506"/>
      <c r="IJ52" s="506"/>
      <c r="IK52" s="506"/>
      <c r="IL52" s="506"/>
      <c r="IM52" s="506"/>
      <c r="IN52" s="506"/>
      <c r="IO52" s="506"/>
      <c r="IP52" s="506"/>
      <c r="IQ52" s="506"/>
      <c r="IR52" s="506"/>
      <c r="IS52" s="506"/>
      <c r="IT52" s="506"/>
      <c r="IU52" s="506"/>
      <c r="IV52" s="506"/>
    </row>
    <row r="53" spans="1:256" s="508" customFormat="1" ht="13.5" customHeight="1">
      <c r="A53" s="852" t="s">
        <v>590</v>
      </c>
      <c r="B53" s="34"/>
      <c r="C53" s="445">
        <v>171251201</v>
      </c>
      <c r="D53" s="36" t="s">
        <v>164</v>
      </c>
      <c r="E53" s="445" t="s">
        <v>122</v>
      </c>
      <c r="F53" s="548">
        <f>F52</f>
        <v>27.8</v>
      </c>
      <c r="G53" s="132"/>
      <c r="H53" s="853">
        <f>F53*G53</f>
        <v>0</v>
      </c>
      <c r="I53" s="449" t="s">
        <v>738</v>
      </c>
      <c r="J53" s="509"/>
      <c r="K53" s="509"/>
      <c r="L53" s="505"/>
      <c r="M53" s="505"/>
      <c r="N53" s="505"/>
      <c r="O53" s="505"/>
      <c r="P53" s="505"/>
      <c r="Q53" s="505"/>
      <c r="R53" s="505"/>
      <c r="S53" s="855"/>
      <c r="T53" s="505"/>
      <c r="U53" s="505"/>
      <c r="V53" s="505"/>
      <c r="W53" s="505"/>
      <c r="X53" s="505"/>
      <c r="Y53" s="505"/>
      <c r="Z53" s="452"/>
      <c r="AA53" s="452"/>
      <c r="AB53" s="452"/>
      <c r="AC53" s="452"/>
      <c r="AD53" s="452"/>
      <c r="AE53" s="452"/>
      <c r="AF53" s="452"/>
      <c r="AG53" s="452"/>
      <c r="AH53" s="452"/>
      <c r="AI53" s="452"/>
      <c r="AJ53" s="452"/>
      <c r="AK53" s="452"/>
      <c r="AL53" s="452"/>
      <c r="AM53" s="452"/>
      <c r="AN53" s="452"/>
      <c r="AO53" s="452"/>
      <c r="AP53" s="452"/>
      <c r="AQ53" s="452"/>
      <c r="AR53" s="452"/>
      <c r="AS53" s="452"/>
      <c r="AT53" s="452"/>
      <c r="AU53" s="452"/>
      <c r="AV53" s="452"/>
      <c r="AW53" s="452"/>
      <c r="AX53" s="452"/>
      <c r="AY53" s="505"/>
      <c r="AZ53" s="505"/>
      <c r="BA53" s="505"/>
      <c r="BB53" s="505"/>
      <c r="BC53" s="505"/>
      <c r="BD53" s="505"/>
      <c r="BE53" s="505"/>
      <c r="BF53" s="505"/>
      <c r="BG53" s="505"/>
      <c r="BH53" s="505"/>
      <c r="BI53" s="505"/>
      <c r="BJ53" s="506"/>
      <c r="BK53" s="506"/>
      <c r="BL53" s="506"/>
      <c r="BM53" s="506"/>
      <c r="BN53" s="506"/>
      <c r="BO53" s="506"/>
      <c r="BP53" s="506"/>
      <c r="BQ53" s="506"/>
      <c r="BR53" s="506"/>
      <c r="BS53" s="506"/>
      <c r="BT53" s="506"/>
      <c r="BU53" s="506"/>
      <c r="BV53" s="506"/>
      <c r="BW53" s="506"/>
      <c r="BX53" s="506"/>
      <c r="BY53" s="506"/>
      <c r="BZ53" s="506"/>
      <c r="CA53" s="506"/>
      <c r="CB53" s="506"/>
      <c r="CC53" s="506"/>
      <c r="CD53" s="506"/>
      <c r="CE53" s="506"/>
      <c r="CF53" s="506"/>
      <c r="CG53" s="506"/>
      <c r="CH53" s="506"/>
      <c r="CI53" s="506"/>
      <c r="CJ53" s="506"/>
      <c r="CK53" s="506"/>
      <c r="CL53" s="506"/>
      <c r="CM53" s="506"/>
      <c r="CN53" s="506"/>
      <c r="CO53" s="506"/>
      <c r="CP53" s="506"/>
      <c r="CQ53" s="506"/>
      <c r="CR53" s="506"/>
      <c r="CS53" s="506"/>
      <c r="CT53" s="506"/>
      <c r="CU53" s="506"/>
      <c r="CV53" s="506"/>
      <c r="CW53" s="506"/>
      <c r="CX53" s="506"/>
      <c r="CY53" s="506"/>
      <c r="CZ53" s="506"/>
      <c r="DA53" s="506"/>
      <c r="DB53" s="506"/>
      <c r="DC53" s="506"/>
      <c r="DD53" s="506"/>
      <c r="DE53" s="506"/>
      <c r="DF53" s="506"/>
      <c r="DG53" s="506"/>
      <c r="DH53" s="506"/>
      <c r="DI53" s="506"/>
      <c r="DJ53" s="506"/>
      <c r="DK53" s="506"/>
      <c r="DL53" s="506"/>
      <c r="DM53" s="506"/>
      <c r="DN53" s="506"/>
      <c r="DO53" s="506"/>
      <c r="DP53" s="506"/>
      <c r="DQ53" s="506"/>
      <c r="DR53" s="506"/>
      <c r="DS53" s="506"/>
      <c r="DT53" s="506"/>
      <c r="DU53" s="506"/>
      <c r="DV53" s="506"/>
      <c r="DW53" s="506"/>
      <c r="DX53" s="506"/>
      <c r="DY53" s="506"/>
      <c r="DZ53" s="506"/>
      <c r="EA53" s="506"/>
      <c r="EB53" s="506"/>
      <c r="EC53" s="506"/>
      <c r="ED53" s="506"/>
      <c r="EE53" s="506"/>
      <c r="EF53" s="506"/>
      <c r="EG53" s="506"/>
      <c r="EH53" s="506"/>
      <c r="EI53" s="506"/>
      <c r="EJ53" s="506"/>
      <c r="EK53" s="506"/>
      <c r="EL53" s="506"/>
      <c r="EM53" s="506"/>
      <c r="EN53" s="506"/>
      <c r="EO53" s="506"/>
      <c r="EP53" s="506"/>
      <c r="EQ53" s="506"/>
      <c r="ER53" s="506"/>
      <c r="ES53" s="506"/>
      <c r="ET53" s="506"/>
      <c r="EU53" s="506"/>
      <c r="EV53" s="506"/>
      <c r="EW53" s="506"/>
      <c r="EX53" s="506"/>
      <c r="EY53" s="506"/>
      <c r="EZ53" s="506"/>
      <c r="FA53" s="506"/>
      <c r="FB53" s="506"/>
      <c r="FC53" s="506"/>
      <c r="FD53" s="506"/>
      <c r="FE53" s="506"/>
      <c r="FF53" s="506"/>
      <c r="FG53" s="506"/>
      <c r="FH53" s="506"/>
      <c r="FI53" s="506"/>
      <c r="FJ53" s="506"/>
      <c r="FK53" s="506"/>
      <c r="FL53" s="506"/>
      <c r="FM53" s="506"/>
      <c r="FN53" s="506"/>
      <c r="FO53" s="506"/>
      <c r="FP53" s="506"/>
      <c r="FQ53" s="506"/>
      <c r="FR53" s="506"/>
      <c r="FS53" s="506"/>
      <c r="FT53" s="506"/>
      <c r="FU53" s="506"/>
      <c r="FV53" s="506"/>
      <c r="FW53" s="506"/>
      <c r="FX53" s="506"/>
      <c r="FY53" s="506"/>
      <c r="FZ53" s="506"/>
      <c r="GA53" s="506"/>
      <c r="GB53" s="506"/>
      <c r="GC53" s="506"/>
      <c r="GD53" s="506"/>
      <c r="GE53" s="506"/>
      <c r="GF53" s="506"/>
      <c r="GG53" s="506"/>
      <c r="GH53" s="506"/>
      <c r="GI53" s="506"/>
      <c r="GJ53" s="506"/>
      <c r="GK53" s="506"/>
      <c r="GL53" s="506"/>
      <c r="GM53" s="506"/>
      <c r="GN53" s="506"/>
      <c r="GO53" s="506"/>
      <c r="GP53" s="506"/>
      <c r="GQ53" s="506"/>
      <c r="GR53" s="506"/>
      <c r="GS53" s="506"/>
      <c r="GT53" s="506"/>
      <c r="GU53" s="506"/>
      <c r="GV53" s="506"/>
      <c r="GW53" s="506"/>
      <c r="GX53" s="506"/>
      <c r="GY53" s="506"/>
      <c r="GZ53" s="506"/>
      <c r="HA53" s="506"/>
      <c r="HB53" s="506"/>
      <c r="HC53" s="506"/>
      <c r="HD53" s="506"/>
      <c r="HE53" s="506"/>
      <c r="HF53" s="506"/>
      <c r="HG53" s="506"/>
      <c r="HH53" s="506"/>
      <c r="HI53" s="506"/>
      <c r="HJ53" s="506"/>
      <c r="HK53" s="506"/>
      <c r="HL53" s="506"/>
      <c r="HM53" s="506"/>
      <c r="HN53" s="506"/>
      <c r="HO53" s="506"/>
      <c r="HP53" s="506"/>
      <c r="HQ53" s="506"/>
      <c r="HR53" s="506"/>
      <c r="HS53" s="506"/>
      <c r="HT53" s="506"/>
      <c r="HU53" s="506"/>
      <c r="HV53" s="506"/>
      <c r="HW53" s="506"/>
      <c r="HX53" s="506"/>
      <c r="HY53" s="506"/>
      <c r="HZ53" s="506"/>
      <c r="IA53" s="506"/>
      <c r="IB53" s="506"/>
      <c r="IC53" s="506"/>
      <c r="ID53" s="506"/>
      <c r="IE53" s="506"/>
      <c r="IF53" s="506"/>
      <c r="IG53" s="506"/>
      <c r="IH53" s="506"/>
      <c r="II53" s="506"/>
      <c r="IJ53" s="506"/>
      <c r="IK53" s="506"/>
      <c r="IL53" s="506"/>
      <c r="IM53" s="506"/>
      <c r="IN53" s="506"/>
      <c r="IO53" s="506"/>
      <c r="IP53" s="506"/>
      <c r="IQ53" s="506"/>
      <c r="IR53" s="506"/>
      <c r="IS53" s="506"/>
      <c r="IT53" s="506"/>
      <c r="IU53" s="506"/>
      <c r="IV53" s="506"/>
    </row>
    <row r="54" spans="1:256" s="508" customFormat="1" ht="13.5" customHeight="1">
      <c r="A54" s="859" t="s">
        <v>591</v>
      </c>
      <c r="B54" s="680"/>
      <c r="C54" s="445">
        <v>171201221</v>
      </c>
      <c r="D54" s="358" t="s">
        <v>140</v>
      </c>
      <c r="E54" s="860" t="s">
        <v>125</v>
      </c>
      <c r="F54" s="682">
        <f>F53*2</f>
        <v>55.6</v>
      </c>
      <c r="G54" s="985"/>
      <c r="H54" s="861">
        <f>F54*G54</f>
        <v>0</v>
      </c>
      <c r="I54" s="449" t="s">
        <v>738</v>
      </c>
      <c r="J54" s="509"/>
      <c r="K54" s="509"/>
      <c r="L54" s="505"/>
      <c r="M54" s="505"/>
      <c r="N54" s="505"/>
      <c r="O54" s="505"/>
      <c r="P54" s="505"/>
      <c r="Q54" s="505"/>
      <c r="R54" s="505"/>
      <c r="S54" s="855"/>
      <c r="T54" s="612"/>
      <c r="U54" s="612"/>
      <c r="V54" s="612"/>
      <c r="W54" s="612"/>
      <c r="X54" s="612"/>
      <c r="Y54" s="612"/>
      <c r="Z54" s="452"/>
      <c r="AA54" s="452"/>
      <c r="AB54" s="452"/>
      <c r="AC54" s="452"/>
      <c r="AD54" s="452"/>
      <c r="AE54" s="452"/>
      <c r="AF54" s="452"/>
      <c r="AG54" s="452"/>
      <c r="AH54" s="452"/>
      <c r="AI54" s="452"/>
      <c r="AJ54" s="452"/>
      <c r="AK54" s="452"/>
      <c r="AL54" s="452"/>
      <c r="AM54" s="452"/>
      <c r="AN54" s="452"/>
      <c r="AO54" s="452"/>
      <c r="AP54" s="452"/>
      <c r="AQ54" s="452"/>
      <c r="AR54" s="452"/>
      <c r="AS54" s="452"/>
      <c r="AT54" s="452"/>
      <c r="AU54" s="452"/>
      <c r="AV54" s="452"/>
      <c r="AW54" s="452"/>
      <c r="AX54" s="452"/>
      <c r="AY54" s="612"/>
      <c r="AZ54" s="612"/>
      <c r="BA54" s="612"/>
      <c r="BB54" s="612"/>
      <c r="BC54" s="612"/>
      <c r="BD54" s="612"/>
      <c r="BE54" s="612"/>
      <c r="BF54" s="612"/>
      <c r="BG54" s="612"/>
      <c r="BH54" s="612"/>
      <c r="BI54" s="612"/>
      <c r="BJ54" s="862"/>
      <c r="BK54" s="862"/>
      <c r="BL54" s="862"/>
      <c r="BM54" s="862"/>
      <c r="BN54" s="862"/>
      <c r="BO54" s="862"/>
      <c r="BP54" s="862"/>
      <c r="BQ54" s="862"/>
      <c r="BR54" s="862"/>
      <c r="BS54" s="862"/>
      <c r="BT54" s="862"/>
      <c r="BU54" s="862"/>
      <c r="BV54" s="862"/>
      <c r="BW54" s="862"/>
      <c r="BX54" s="862"/>
      <c r="BY54" s="862"/>
      <c r="BZ54" s="862"/>
      <c r="CA54" s="862"/>
      <c r="CB54" s="862"/>
      <c r="CC54" s="862"/>
      <c r="CD54" s="862"/>
      <c r="CE54" s="862"/>
      <c r="CF54" s="862"/>
      <c r="CG54" s="862"/>
      <c r="CH54" s="862"/>
      <c r="CI54" s="862"/>
      <c r="CJ54" s="862"/>
      <c r="CK54" s="862"/>
      <c r="CL54" s="862"/>
      <c r="CM54" s="862"/>
      <c r="CN54" s="862"/>
      <c r="CO54" s="862"/>
      <c r="CP54" s="862"/>
      <c r="CQ54" s="862"/>
      <c r="CR54" s="862"/>
      <c r="CS54" s="862"/>
      <c r="CT54" s="862"/>
      <c r="CU54" s="862"/>
      <c r="CV54" s="862"/>
      <c r="CW54" s="862"/>
      <c r="CX54" s="862"/>
      <c r="CY54" s="862"/>
      <c r="CZ54" s="862"/>
      <c r="DA54" s="862"/>
      <c r="DB54" s="862"/>
      <c r="DC54" s="862"/>
      <c r="DD54" s="862"/>
      <c r="DE54" s="862"/>
      <c r="DF54" s="862"/>
      <c r="DG54" s="862"/>
      <c r="DH54" s="862"/>
      <c r="DI54" s="862"/>
      <c r="DJ54" s="862"/>
      <c r="DK54" s="862"/>
      <c r="DL54" s="862"/>
      <c r="DM54" s="862"/>
      <c r="DN54" s="862"/>
      <c r="DO54" s="862"/>
      <c r="DP54" s="862"/>
      <c r="DQ54" s="862"/>
      <c r="DR54" s="862"/>
      <c r="DS54" s="862"/>
      <c r="DT54" s="862"/>
      <c r="DU54" s="862"/>
      <c r="DV54" s="862"/>
      <c r="DW54" s="862"/>
      <c r="DX54" s="862"/>
      <c r="DY54" s="862"/>
      <c r="DZ54" s="862"/>
      <c r="EA54" s="862"/>
      <c r="EB54" s="862"/>
      <c r="EC54" s="862"/>
      <c r="ED54" s="862"/>
      <c r="EE54" s="862"/>
      <c r="EF54" s="862"/>
      <c r="EG54" s="862"/>
      <c r="EH54" s="862"/>
      <c r="EI54" s="862"/>
      <c r="EJ54" s="862"/>
      <c r="EK54" s="862"/>
      <c r="EL54" s="862"/>
      <c r="EM54" s="862"/>
      <c r="EN54" s="862"/>
      <c r="EO54" s="862"/>
      <c r="EP54" s="862"/>
      <c r="EQ54" s="862"/>
      <c r="ER54" s="862"/>
      <c r="ES54" s="862"/>
      <c r="ET54" s="862"/>
      <c r="EU54" s="862"/>
      <c r="EV54" s="862"/>
      <c r="EW54" s="862"/>
      <c r="EX54" s="862"/>
      <c r="EY54" s="862"/>
      <c r="EZ54" s="862"/>
      <c r="FA54" s="862"/>
      <c r="FB54" s="862"/>
      <c r="FC54" s="862"/>
      <c r="FD54" s="862"/>
      <c r="FE54" s="862"/>
      <c r="FF54" s="862"/>
      <c r="FG54" s="862"/>
      <c r="FH54" s="862"/>
      <c r="FI54" s="862"/>
      <c r="FJ54" s="862"/>
      <c r="FK54" s="862"/>
      <c r="FL54" s="862"/>
      <c r="FM54" s="862"/>
      <c r="FN54" s="862"/>
      <c r="FO54" s="862"/>
      <c r="FP54" s="862"/>
      <c r="FQ54" s="862"/>
      <c r="FR54" s="862"/>
      <c r="FS54" s="862"/>
      <c r="FT54" s="862"/>
      <c r="FU54" s="862"/>
      <c r="FV54" s="862"/>
      <c r="FW54" s="862"/>
      <c r="FX54" s="862"/>
      <c r="FY54" s="862"/>
      <c r="FZ54" s="862"/>
      <c r="GA54" s="862"/>
      <c r="GB54" s="862"/>
      <c r="GC54" s="862"/>
      <c r="GD54" s="862"/>
      <c r="GE54" s="862"/>
      <c r="GF54" s="862"/>
      <c r="GG54" s="862"/>
      <c r="GH54" s="862"/>
      <c r="GI54" s="862"/>
      <c r="GJ54" s="862"/>
      <c r="GK54" s="862"/>
      <c r="GL54" s="862"/>
      <c r="GM54" s="862"/>
      <c r="GN54" s="862"/>
      <c r="GO54" s="862"/>
      <c r="GP54" s="862"/>
      <c r="GQ54" s="862"/>
      <c r="GR54" s="862"/>
      <c r="GS54" s="862"/>
      <c r="GT54" s="862"/>
      <c r="GU54" s="862"/>
      <c r="GV54" s="862"/>
      <c r="GW54" s="862"/>
      <c r="GX54" s="862"/>
      <c r="GY54" s="862"/>
      <c r="GZ54" s="862"/>
      <c r="HA54" s="862"/>
      <c r="HB54" s="862"/>
      <c r="HC54" s="862"/>
      <c r="HD54" s="862"/>
      <c r="HE54" s="862"/>
      <c r="HF54" s="862"/>
      <c r="HG54" s="862"/>
      <c r="HH54" s="862"/>
      <c r="HI54" s="862"/>
      <c r="HJ54" s="862"/>
      <c r="HK54" s="862"/>
      <c r="HL54" s="862"/>
      <c r="HM54" s="862"/>
      <c r="HN54" s="862"/>
      <c r="HO54" s="862"/>
      <c r="HP54" s="862"/>
      <c r="HQ54" s="862"/>
      <c r="HR54" s="862"/>
      <c r="HS54" s="862"/>
      <c r="HT54" s="862"/>
      <c r="HU54" s="862"/>
      <c r="HV54" s="862"/>
      <c r="HW54" s="862"/>
      <c r="HX54" s="862"/>
      <c r="HY54" s="862"/>
      <c r="HZ54" s="862"/>
      <c r="IA54" s="862"/>
      <c r="IB54" s="862"/>
      <c r="IC54" s="862"/>
      <c r="ID54" s="862"/>
      <c r="IE54" s="862"/>
      <c r="IF54" s="862"/>
      <c r="IG54" s="862"/>
      <c r="IH54" s="862"/>
      <c r="II54" s="862"/>
      <c r="IJ54" s="862"/>
      <c r="IK54" s="862"/>
      <c r="IL54" s="862"/>
      <c r="IM54" s="862"/>
      <c r="IN54" s="862"/>
      <c r="IO54" s="862"/>
      <c r="IP54" s="862"/>
      <c r="IQ54" s="862"/>
      <c r="IR54" s="862"/>
      <c r="IS54" s="862"/>
      <c r="IT54" s="862"/>
      <c r="IU54" s="862"/>
      <c r="IV54" s="862"/>
    </row>
    <row r="55" spans="1:256" s="508" customFormat="1" ht="13.5" customHeight="1">
      <c r="A55" s="859"/>
      <c r="B55" s="680"/>
      <c r="C55" s="863"/>
      <c r="D55" s="358" t="s">
        <v>297</v>
      </c>
      <c r="E55" s="860"/>
      <c r="F55" s="682"/>
      <c r="G55" s="861"/>
      <c r="H55" s="861"/>
      <c r="I55" s="864"/>
      <c r="J55" s="509"/>
      <c r="K55" s="509"/>
      <c r="L55" s="505"/>
      <c r="M55" s="505"/>
      <c r="N55" s="505"/>
      <c r="O55" s="505"/>
      <c r="P55" s="505"/>
      <c r="Q55" s="505"/>
      <c r="R55" s="505"/>
      <c r="S55" s="855"/>
      <c r="T55" s="612"/>
      <c r="U55" s="612"/>
      <c r="V55" s="612"/>
      <c r="W55" s="612"/>
      <c r="X55" s="612"/>
      <c r="Y55" s="612"/>
      <c r="Z55" s="452"/>
      <c r="AA55" s="452"/>
      <c r="AB55" s="452"/>
      <c r="AC55" s="452"/>
      <c r="AD55" s="452"/>
      <c r="AE55" s="452"/>
      <c r="AF55" s="452"/>
      <c r="AG55" s="452"/>
      <c r="AH55" s="452"/>
      <c r="AI55" s="452"/>
      <c r="AJ55" s="452"/>
      <c r="AK55" s="452"/>
      <c r="AL55" s="452"/>
      <c r="AM55" s="452"/>
      <c r="AN55" s="452"/>
      <c r="AO55" s="452"/>
      <c r="AP55" s="452"/>
      <c r="AQ55" s="452"/>
      <c r="AR55" s="452"/>
      <c r="AS55" s="452"/>
      <c r="AT55" s="452"/>
      <c r="AU55" s="452"/>
      <c r="AV55" s="452"/>
      <c r="AW55" s="452"/>
      <c r="AX55" s="452"/>
      <c r="AY55" s="612"/>
      <c r="AZ55" s="612"/>
      <c r="BA55" s="612"/>
      <c r="BB55" s="612"/>
      <c r="BC55" s="612"/>
      <c r="BD55" s="612"/>
      <c r="BE55" s="612"/>
      <c r="BF55" s="612"/>
      <c r="BG55" s="612"/>
      <c r="BH55" s="612"/>
      <c r="BI55" s="612"/>
      <c r="BJ55" s="862"/>
      <c r="BK55" s="862"/>
      <c r="BL55" s="862"/>
      <c r="BM55" s="862"/>
      <c r="BN55" s="862"/>
      <c r="BO55" s="862"/>
      <c r="BP55" s="862"/>
      <c r="BQ55" s="862"/>
      <c r="BR55" s="862"/>
      <c r="BS55" s="862"/>
      <c r="BT55" s="862"/>
      <c r="BU55" s="862"/>
      <c r="BV55" s="862"/>
      <c r="BW55" s="862"/>
      <c r="BX55" s="862"/>
      <c r="BY55" s="862"/>
      <c r="BZ55" s="862"/>
      <c r="CA55" s="862"/>
      <c r="CB55" s="862"/>
      <c r="CC55" s="862"/>
      <c r="CD55" s="862"/>
      <c r="CE55" s="862"/>
      <c r="CF55" s="862"/>
      <c r="CG55" s="862"/>
      <c r="CH55" s="862"/>
      <c r="CI55" s="862"/>
      <c r="CJ55" s="862"/>
      <c r="CK55" s="862"/>
      <c r="CL55" s="862"/>
      <c r="CM55" s="862"/>
      <c r="CN55" s="862"/>
      <c r="CO55" s="862"/>
      <c r="CP55" s="862"/>
      <c r="CQ55" s="862"/>
      <c r="CR55" s="862"/>
      <c r="CS55" s="862"/>
      <c r="CT55" s="862"/>
      <c r="CU55" s="862"/>
      <c r="CV55" s="862"/>
      <c r="CW55" s="862"/>
      <c r="CX55" s="862"/>
      <c r="CY55" s="862"/>
      <c r="CZ55" s="862"/>
      <c r="DA55" s="862"/>
      <c r="DB55" s="862"/>
      <c r="DC55" s="862"/>
      <c r="DD55" s="862"/>
      <c r="DE55" s="862"/>
      <c r="DF55" s="862"/>
      <c r="DG55" s="862"/>
      <c r="DH55" s="862"/>
      <c r="DI55" s="862"/>
      <c r="DJ55" s="862"/>
      <c r="DK55" s="862"/>
      <c r="DL55" s="862"/>
      <c r="DM55" s="862"/>
      <c r="DN55" s="862"/>
      <c r="DO55" s="862"/>
      <c r="DP55" s="862"/>
      <c r="DQ55" s="862"/>
      <c r="DR55" s="862"/>
      <c r="DS55" s="862"/>
      <c r="DT55" s="862"/>
      <c r="DU55" s="862"/>
      <c r="DV55" s="862"/>
      <c r="DW55" s="862"/>
      <c r="DX55" s="862"/>
      <c r="DY55" s="862"/>
      <c r="DZ55" s="862"/>
      <c r="EA55" s="862"/>
      <c r="EB55" s="862"/>
      <c r="EC55" s="862"/>
      <c r="ED55" s="862"/>
      <c r="EE55" s="862"/>
      <c r="EF55" s="862"/>
      <c r="EG55" s="862"/>
      <c r="EH55" s="862"/>
      <c r="EI55" s="862"/>
      <c r="EJ55" s="862"/>
      <c r="EK55" s="862"/>
      <c r="EL55" s="862"/>
      <c r="EM55" s="862"/>
      <c r="EN55" s="862"/>
      <c r="EO55" s="862"/>
      <c r="EP55" s="862"/>
      <c r="EQ55" s="862"/>
      <c r="ER55" s="862"/>
      <c r="ES55" s="862"/>
      <c r="ET55" s="862"/>
      <c r="EU55" s="862"/>
      <c r="EV55" s="862"/>
      <c r="EW55" s="862"/>
      <c r="EX55" s="862"/>
      <c r="EY55" s="862"/>
      <c r="EZ55" s="862"/>
      <c r="FA55" s="862"/>
      <c r="FB55" s="862"/>
      <c r="FC55" s="862"/>
      <c r="FD55" s="862"/>
      <c r="FE55" s="862"/>
      <c r="FF55" s="862"/>
      <c r="FG55" s="862"/>
      <c r="FH55" s="862"/>
      <c r="FI55" s="862"/>
      <c r="FJ55" s="862"/>
      <c r="FK55" s="862"/>
      <c r="FL55" s="862"/>
      <c r="FM55" s="862"/>
      <c r="FN55" s="862"/>
      <c r="FO55" s="862"/>
      <c r="FP55" s="862"/>
      <c r="FQ55" s="862"/>
      <c r="FR55" s="862"/>
      <c r="FS55" s="862"/>
      <c r="FT55" s="862"/>
      <c r="FU55" s="862"/>
      <c r="FV55" s="862"/>
      <c r="FW55" s="862"/>
      <c r="FX55" s="862"/>
      <c r="FY55" s="862"/>
      <c r="FZ55" s="862"/>
      <c r="GA55" s="862"/>
      <c r="GB55" s="862"/>
      <c r="GC55" s="862"/>
      <c r="GD55" s="862"/>
      <c r="GE55" s="862"/>
      <c r="GF55" s="862"/>
      <c r="GG55" s="862"/>
      <c r="GH55" s="862"/>
      <c r="GI55" s="862"/>
      <c r="GJ55" s="862"/>
      <c r="GK55" s="862"/>
      <c r="GL55" s="862"/>
      <c r="GM55" s="862"/>
      <c r="GN55" s="862"/>
      <c r="GO55" s="862"/>
      <c r="GP55" s="862"/>
      <c r="GQ55" s="862"/>
      <c r="GR55" s="862"/>
      <c r="GS55" s="862"/>
      <c r="GT55" s="862"/>
      <c r="GU55" s="862"/>
      <c r="GV55" s="862"/>
      <c r="GW55" s="862"/>
      <c r="GX55" s="862"/>
      <c r="GY55" s="862"/>
      <c r="GZ55" s="862"/>
      <c r="HA55" s="862"/>
      <c r="HB55" s="862"/>
      <c r="HC55" s="862"/>
      <c r="HD55" s="862"/>
      <c r="HE55" s="862"/>
      <c r="HF55" s="862"/>
      <c r="HG55" s="862"/>
      <c r="HH55" s="862"/>
      <c r="HI55" s="862"/>
      <c r="HJ55" s="862"/>
      <c r="HK55" s="862"/>
      <c r="HL55" s="862"/>
      <c r="HM55" s="862"/>
      <c r="HN55" s="862"/>
      <c r="HO55" s="862"/>
      <c r="HP55" s="862"/>
      <c r="HQ55" s="862"/>
      <c r="HR55" s="862"/>
      <c r="HS55" s="862"/>
      <c r="HT55" s="862"/>
      <c r="HU55" s="862"/>
      <c r="HV55" s="862"/>
      <c r="HW55" s="862"/>
      <c r="HX55" s="862"/>
      <c r="HY55" s="862"/>
      <c r="HZ55" s="862"/>
      <c r="IA55" s="862"/>
      <c r="IB55" s="862"/>
      <c r="IC55" s="862"/>
      <c r="ID55" s="862"/>
      <c r="IE55" s="862"/>
      <c r="IF55" s="862"/>
      <c r="IG55" s="862"/>
      <c r="IH55" s="862"/>
      <c r="II55" s="862"/>
      <c r="IJ55" s="862"/>
      <c r="IK55" s="862"/>
      <c r="IL55" s="862"/>
      <c r="IM55" s="862"/>
      <c r="IN55" s="862"/>
      <c r="IO55" s="862"/>
      <c r="IP55" s="862"/>
      <c r="IQ55" s="862"/>
      <c r="IR55" s="862"/>
      <c r="IS55" s="862"/>
      <c r="IT55" s="862"/>
      <c r="IU55" s="862"/>
      <c r="IV55" s="862"/>
    </row>
    <row r="56" spans="1:256" s="508" customFormat="1" ht="54" customHeight="1">
      <c r="A56" s="849"/>
      <c r="B56" s="850"/>
      <c r="C56" s="851"/>
      <c r="D56" s="865" t="s">
        <v>210</v>
      </c>
      <c r="E56" s="36"/>
      <c r="F56" s="548"/>
      <c r="G56" s="848"/>
      <c r="H56" s="848"/>
      <c r="I56" s="697"/>
      <c r="J56" s="637"/>
      <c r="K56" s="638"/>
      <c r="L56" s="639"/>
      <c r="M56" s="640"/>
      <c r="N56" s="641"/>
      <c r="O56" s="642"/>
      <c r="P56" s="641"/>
      <c r="Q56" s="643"/>
      <c r="R56" s="644"/>
      <c r="S56" s="645"/>
      <c r="T56" s="646"/>
      <c r="U56" s="646"/>
      <c r="V56" s="646"/>
      <c r="W56" s="646"/>
      <c r="X56" s="646"/>
      <c r="Y56" s="646"/>
      <c r="Z56" s="646"/>
      <c r="AA56" s="646"/>
      <c r="AB56" s="646"/>
      <c r="AC56" s="646"/>
      <c r="AD56" s="646"/>
      <c r="AE56" s="646"/>
      <c r="AF56" s="646"/>
      <c r="AG56" s="646"/>
      <c r="AH56" s="646"/>
      <c r="AI56" s="646"/>
      <c r="AJ56" s="646"/>
      <c r="AK56" s="646"/>
      <c r="AL56" s="646"/>
      <c r="AM56" s="646"/>
      <c r="AN56" s="646"/>
      <c r="AO56" s="646"/>
      <c r="AP56" s="646"/>
      <c r="AQ56" s="646"/>
      <c r="AR56" s="646"/>
      <c r="AS56" s="646"/>
      <c r="AT56" s="646"/>
      <c r="AU56" s="646"/>
      <c r="AV56" s="646"/>
      <c r="AW56" s="646"/>
      <c r="AX56" s="646"/>
      <c r="AY56" s="505"/>
      <c r="AZ56" s="505"/>
      <c r="BA56" s="505"/>
      <c r="BB56" s="505"/>
      <c r="BC56" s="505"/>
      <c r="BD56" s="505"/>
      <c r="BE56" s="505"/>
      <c r="BF56" s="505"/>
      <c r="BG56" s="505"/>
      <c r="BH56" s="505"/>
      <c r="BI56" s="505"/>
      <c r="BJ56" s="506"/>
      <c r="BK56" s="506"/>
      <c r="BL56" s="506"/>
      <c r="BM56" s="506"/>
      <c r="BN56" s="506"/>
      <c r="BO56" s="506"/>
      <c r="BP56" s="506"/>
      <c r="BQ56" s="506"/>
      <c r="BR56" s="506"/>
      <c r="BS56" s="506"/>
      <c r="BT56" s="506"/>
      <c r="BU56" s="506"/>
      <c r="BV56" s="506"/>
      <c r="BW56" s="506"/>
      <c r="BX56" s="506"/>
      <c r="BY56" s="506"/>
      <c r="BZ56" s="506"/>
      <c r="CA56" s="506"/>
      <c r="CB56" s="506"/>
      <c r="CC56" s="506"/>
      <c r="CD56" s="506"/>
      <c r="CE56" s="506"/>
      <c r="CF56" s="506"/>
      <c r="CG56" s="506"/>
      <c r="CH56" s="506"/>
      <c r="CI56" s="506"/>
      <c r="CJ56" s="506"/>
      <c r="CK56" s="506"/>
      <c r="CL56" s="506"/>
      <c r="CM56" s="506"/>
      <c r="CN56" s="506"/>
      <c r="CO56" s="506"/>
      <c r="CP56" s="506"/>
      <c r="CQ56" s="506"/>
      <c r="CR56" s="506"/>
      <c r="CS56" s="506"/>
      <c r="CT56" s="506"/>
      <c r="CU56" s="506"/>
      <c r="CV56" s="506"/>
      <c r="CW56" s="506"/>
      <c r="CX56" s="506"/>
      <c r="CY56" s="506"/>
      <c r="CZ56" s="506"/>
      <c r="DA56" s="506"/>
      <c r="DB56" s="506"/>
      <c r="DC56" s="506"/>
      <c r="DD56" s="506"/>
      <c r="DE56" s="506"/>
      <c r="DF56" s="506"/>
      <c r="DG56" s="506"/>
      <c r="DH56" s="506"/>
      <c r="DI56" s="506"/>
      <c r="DJ56" s="506"/>
      <c r="DK56" s="506"/>
      <c r="DL56" s="506"/>
      <c r="DM56" s="506"/>
      <c r="DN56" s="506"/>
      <c r="DO56" s="506"/>
      <c r="DP56" s="506"/>
      <c r="DQ56" s="506"/>
      <c r="DR56" s="506"/>
      <c r="DS56" s="506"/>
      <c r="DT56" s="506"/>
      <c r="DU56" s="506"/>
      <c r="DV56" s="506"/>
      <c r="DW56" s="506"/>
      <c r="DX56" s="506"/>
      <c r="DY56" s="506"/>
      <c r="DZ56" s="506"/>
      <c r="EA56" s="506"/>
      <c r="EB56" s="506"/>
      <c r="EC56" s="506"/>
      <c r="ED56" s="506"/>
      <c r="EE56" s="506"/>
      <c r="EF56" s="506"/>
      <c r="EG56" s="506"/>
      <c r="EH56" s="506"/>
      <c r="EI56" s="506"/>
      <c r="EJ56" s="506"/>
      <c r="EK56" s="506"/>
      <c r="EL56" s="506"/>
      <c r="EM56" s="506"/>
      <c r="EN56" s="506"/>
      <c r="EO56" s="506"/>
      <c r="EP56" s="506"/>
      <c r="EQ56" s="506"/>
      <c r="ER56" s="506"/>
      <c r="ES56" s="506"/>
      <c r="ET56" s="506"/>
      <c r="EU56" s="506"/>
      <c r="EV56" s="506"/>
      <c r="EW56" s="506"/>
      <c r="EX56" s="506"/>
      <c r="EY56" s="506"/>
      <c r="EZ56" s="506"/>
      <c r="FA56" s="506"/>
      <c r="FB56" s="506"/>
      <c r="FC56" s="506"/>
      <c r="FD56" s="506"/>
      <c r="FE56" s="506"/>
      <c r="FF56" s="506"/>
      <c r="FG56" s="506"/>
      <c r="FH56" s="506"/>
      <c r="FI56" s="506"/>
      <c r="FJ56" s="506"/>
      <c r="FK56" s="506"/>
      <c r="FL56" s="506"/>
      <c r="FM56" s="506"/>
      <c r="FN56" s="506"/>
      <c r="FO56" s="506"/>
      <c r="FP56" s="506"/>
      <c r="FQ56" s="506"/>
      <c r="FR56" s="506"/>
      <c r="FS56" s="506"/>
      <c r="FT56" s="506"/>
      <c r="FU56" s="506"/>
      <c r="FV56" s="506"/>
      <c r="FW56" s="506"/>
      <c r="FX56" s="506"/>
      <c r="FY56" s="506"/>
      <c r="FZ56" s="506"/>
      <c r="GA56" s="506"/>
      <c r="GB56" s="506"/>
      <c r="GC56" s="506"/>
      <c r="GD56" s="506"/>
      <c r="GE56" s="506"/>
      <c r="GF56" s="506"/>
      <c r="GG56" s="506"/>
      <c r="GH56" s="506"/>
      <c r="GI56" s="506"/>
      <c r="GJ56" s="506"/>
      <c r="GK56" s="506"/>
      <c r="GL56" s="506"/>
      <c r="GM56" s="506"/>
      <c r="GN56" s="506"/>
      <c r="GO56" s="506"/>
      <c r="GP56" s="506"/>
      <c r="GQ56" s="506"/>
      <c r="GR56" s="506"/>
      <c r="GS56" s="506"/>
      <c r="GT56" s="506"/>
      <c r="GU56" s="506"/>
      <c r="GV56" s="506"/>
      <c r="GW56" s="506"/>
      <c r="GX56" s="506"/>
      <c r="GY56" s="506"/>
      <c r="GZ56" s="506"/>
      <c r="HA56" s="506"/>
      <c r="HB56" s="506"/>
      <c r="HC56" s="506"/>
      <c r="HD56" s="506"/>
      <c r="HE56" s="506"/>
      <c r="HF56" s="506"/>
      <c r="HG56" s="506"/>
      <c r="HH56" s="506"/>
      <c r="HI56" s="506"/>
      <c r="HJ56" s="506"/>
      <c r="HK56" s="506"/>
      <c r="HL56" s="506"/>
      <c r="HM56" s="506"/>
      <c r="HN56" s="506"/>
      <c r="HO56" s="506"/>
      <c r="HP56" s="506"/>
      <c r="HQ56" s="506"/>
      <c r="HR56" s="506"/>
      <c r="HS56" s="506"/>
      <c r="HT56" s="506"/>
      <c r="HU56" s="506"/>
      <c r="HV56" s="506"/>
      <c r="HW56" s="506"/>
      <c r="HX56" s="506"/>
      <c r="HY56" s="506"/>
      <c r="HZ56" s="506"/>
      <c r="IA56" s="506"/>
      <c r="IB56" s="506"/>
      <c r="IC56" s="506"/>
      <c r="ID56" s="506"/>
      <c r="IE56" s="506"/>
      <c r="IF56" s="506"/>
      <c r="IG56" s="506"/>
      <c r="IH56" s="506"/>
      <c r="II56" s="506"/>
      <c r="IJ56" s="506"/>
      <c r="IK56" s="506"/>
      <c r="IL56" s="506"/>
      <c r="IM56" s="506"/>
      <c r="IN56" s="506"/>
      <c r="IO56" s="506"/>
      <c r="IP56" s="506"/>
      <c r="IQ56" s="506"/>
      <c r="IR56" s="506"/>
      <c r="IS56" s="506"/>
      <c r="IT56" s="506"/>
      <c r="IU56" s="506"/>
      <c r="IV56" s="506"/>
    </row>
    <row r="57" spans="1:256" ht="13.5" customHeight="1">
      <c r="A57" s="323"/>
      <c r="B57" s="324"/>
      <c r="C57" s="694">
        <v>5</v>
      </c>
      <c r="D57" s="694" t="s">
        <v>175</v>
      </c>
      <c r="E57" s="324"/>
      <c r="F57" s="325"/>
      <c r="G57" s="470"/>
      <c r="H57" s="470">
        <f>SUM(H58:H59,H66:H67)</f>
        <v>0</v>
      </c>
      <c r="I57" s="327"/>
      <c r="J57" s="654"/>
      <c r="K57" s="638"/>
      <c r="L57" s="639"/>
      <c r="M57" s="641"/>
      <c r="N57" s="641"/>
      <c r="O57" s="642"/>
      <c r="P57" s="641"/>
      <c r="Q57" s="643"/>
      <c r="R57" s="644"/>
      <c r="S57" s="645"/>
      <c r="T57" s="646"/>
      <c r="U57" s="646"/>
      <c r="V57" s="646"/>
      <c r="W57" s="646"/>
      <c r="X57" s="646"/>
      <c r="Y57" s="646"/>
      <c r="Z57" s="646"/>
      <c r="AA57" s="646"/>
      <c r="AB57" s="646"/>
      <c r="AC57" s="646"/>
      <c r="AD57" s="646"/>
      <c r="AE57" s="646"/>
      <c r="AF57" s="646"/>
      <c r="AG57" s="646"/>
      <c r="AH57" s="646"/>
      <c r="AI57" s="646"/>
      <c r="AJ57" s="646"/>
      <c r="AK57" s="646"/>
      <c r="AL57" s="646"/>
      <c r="AM57" s="646"/>
      <c r="AN57" s="646"/>
      <c r="AO57" s="646"/>
      <c r="AP57" s="646"/>
      <c r="AQ57" s="646"/>
      <c r="AR57" s="646"/>
      <c r="AS57" s="646"/>
      <c r="AT57" s="646"/>
      <c r="AU57" s="646"/>
      <c r="AV57" s="646"/>
      <c r="AW57" s="646"/>
      <c r="AX57" s="646"/>
    </row>
    <row r="58" spans="1:256" s="508" customFormat="1" ht="13.5" customHeight="1">
      <c r="A58" s="699" t="s">
        <v>274</v>
      </c>
      <c r="B58" s="700" t="s">
        <v>119</v>
      </c>
      <c r="C58" s="34" t="s">
        <v>176</v>
      </c>
      <c r="D58" s="34" t="s">
        <v>177</v>
      </c>
      <c r="E58" s="34" t="s">
        <v>98</v>
      </c>
      <c r="F58" s="534">
        <f>SUM(F66)</f>
        <v>34.75</v>
      </c>
      <c r="G58" s="848">
        <f>SUM(H60:H65)/F58</f>
        <v>0</v>
      </c>
      <c r="H58" s="848">
        <f>F58*G58</f>
        <v>0</v>
      </c>
      <c r="I58" s="533" t="s">
        <v>739</v>
      </c>
      <c r="J58" s="866"/>
      <c r="K58" s="867"/>
      <c r="L58" s="867"/>
      <c r="M58" s="867"/>
      <c r="N58" s="867"/>
      <c r="O58" s="868"/>
      <c r="P58" s="869"/>
      <c r="Q58" s="870"/>
      <c r="R58" s="670"/>
      <c r="S58" s="670"/>
      <c r="T58" s="671"/>
      <c r="U58" s="509"/>
      <c r="V58" s="691"/>
      <c r="W58" s="509"/>
      <c r="X58" s="509"/>
      <c r="Y58" s="505"/>
      <c r="Z58" s="505"/>
      <c r="AA58" s="505"/>
      <c r="AB58" s="505"/>
      <c r="AC58" s="505"/>
      <c r="AD58" s="505"/>
      <c r="AE58" s="505"/>
      <c r="AF58" s="505"/>
      <c r="AG58" s="505"/>
      <c r="AH58" s="505"/>
      <c r="AI58" s="505"/>
      <c r="AJ58" s="505"/>
      <c r="AK58" s="505"/>
      <c r="AL58" s="505"/>
      <c r="AM58" s="505"/>
      <c r="AN58" s="505"/>
      <c r="AO58" s="505"/>
      <c r="AP58" s="505"/>
      <c r="AQ58" s="505"/>
      <c r="AR58" s="505"/>
      <c r="AS58" s="505"/>
      <c r="AT58" s="505"/>
      <c r="AU58" s="505"/>
      <c r="AV58" s="505"/>
      <c r="AW58" s="505"/>
      <c r="AX58" s="505"/>
      <c r="AY58" s="509"/>
      <c r="AZ58" s="509"/>
      <c r="BA58" s="509"/>
      <c r="BB58" s="509"/>
      <c r="BC58" s="509"/>
      <c r="BD58" s="509"/>
      <c r="BE58" s="509"/>
      <c r="BF58" s="509"/>
      <c r="BG58" s="509"/>
      <c r="BH58" s="509"/>
      <c r="BI58" s="509"/>
    </row>
    <row r="59" spans="1:256" s="508" customFormat="1" ht="13.5" customHeight="1">
      <c r="A59" s="871"/>
      <c r="B59" s="872"/>
      <c r="C59" s="873"/>
      <c r="D59" s="36" t="s">
        <v>178</v>
      </c>
      <c r="E59" s="34"/>
      <c r="F59" s="874"/>
      <c r="G59" s="848"/>
      <c r="H59" s="848"/>
      <c r="I59" s="875"/>
      <c r="J59" s="876"/>
      <c r="K59" s="867"/>
      <c r="L59" s="867"/>
      <c r="M59" s="867"/>
      <c r="N59" s="867"/>
      <c r="O59" s="868"/>
      <c r="P59" s="869"/>
      <c r="Q59" s="870"/>
      <c r="R59" s="670"/>
      <c r="S59" s="670"/>
      <c r="T59" s="671"/>
      <c r="U59" s="509"/>
      <c r="V59" s="691"/>
      <c r="W59" s="509"/>
      <c r="X59" s="509"/>
      <c r="Y59" s="505"/>
      <c r="Z59" s="505"/>
      <c r="AA59" s="505"/>
      <c r="AB59" s="505"/>
      <c r="AC59" s="505"/>
      <c r="AD59" s="505"/>
      <c r="AE59" s="505"/>
      <c r="AF59" s="505"/>
      <c r="AG59" s="505"/>
      <c r="AH59" s="505"/>
      <c r="AI59" s="505"/>
      <c r="AJ59" s="505"/>
      <c r="AK59" s="505"/>
      <c r="AL59" s="505"/>
      <c r="AM59" s="505"/>
      <c r="AN59" s="505"/>
      <c r="AO59" s="505"/>
      <c r="AP59" s="505"/>
      <c r="AQ59" s="505"/>
      <c r="AR59" s="505"/>
      <c r="AS59" s="505"/>
      <c r="AT59" s="505"/>
      <c r="AU59" s="505"/>
      <c r="AV59" s="505"/>
      <c r="AW59" s="505"/>
      <c r="AX59" s="505"/>
      <c r="AY59" s="509"/>
      <c r="AZ59" s="509"/>
      <c r="BA59" s="509"/>
      <c r="BB59" s="509"/>
      <c r="BC59" s="509"/>
      <c r="BD59" s="509"/>
      <c r="BE59" s="509"/>
      <c r="BF59" s="509"/>
      <c r="BG59" s="509"/>
      <c r="BH59" s="509"/>
      <c r="BI59" s="509"/>
    </row>
    <row r="60" spans="1:256" s="508" customFormat="1" ht="13.5" customHeight="1">
      <c r="A60" s="852" t="s">
        <v>592</v>
      </c>
      <c r="B60" s="872"/>
      <c r="C60" s="445" t="s">
        <v>264</v>
      </c>
      <c r="D60" s="36" t="s">
        <v>810</v>
      </c>
      <c r="E60" s="445" t="s">
        <v>98</v>
      </c>
      <c r="F60" s="548">
        <v>38.25</v>
      </c>
      <c r="G60" s="133"/>
      <c r="H60" s="877">
        <f t="shared" ref="H60:H65" si="2">F60*G60</f>
        <v>0</v>
      </c>
      <c r="I60" s="449" t="s">
        <v>740</v>
      </c>
      <c r="J60" s="878"/>
      <c r="K60" s="879"/>
      <c r="L60" s="879"/>
      <c r="M60" s="879"/>
      <c r="N60" s="879"/>
      <c r="O60" s="668"/>
      <c r="P60" s="668"/>
      <c r="Q60" s="689"/>
      <c r="R60" s="670"/>
      <c r="S60" s="670"/>
      <c r="T60" s="671"/>
      <c r="U60" s="509"/>
      <c r="V60" s="691"/>
      <c r="W60" s="509"/>
      <c r="X60" s="509"/>
      <c r="Y60" s="505"/>
      <c r="Z60" s="505"/>
      <c r="AA60" s="505"/>
      <c r="AB60" s="505"/>
      <c r="AC60" s="505"/>
      <c r="AD60" s="505"/>
      <c r="AE60" s="505"/>
      <c r="AF60" s="505"/>
      <c r="AG60" s="505"/>
      <c r="AH60" s="505"/>
      <c r="AI60" s="505"/>
      <c r="AJ60" s="505"/>
      <c r="AK60" s="505"/>
      <c r="AL60" s="505"/>
      <c r="AM60" s="505"/>
      <c r="AN60" s="505"/>
      <c r="AO60" s="505"/>
      <c r="AP60" s="505"/>
      <c r="AQ60" s="505"/>
      <c r="AR60" s="505"/>
      <c r="AS60" s="505"/>
      <c r="AT60" s="505"/>
      <c r="AU60" s="505"/>
      <c r="AV60" s="505"/>
      <c r="AW60" s="505"/>
      <c r="AX60" s="505"/>
      <c r="AY60" s="509"/>
      <c r="AZ60" s="509"/>
      <c r="BA60" s="509"/>
      <c r="BB60" s="509"/>
      <c r="BC60" s="509"/>
      <c r="BD60" s="509"/>
      <c r="BE60" s="509"/>
      <c r="BF60" s="509"/>
      <c r="BG60" s="509"/>
      <c r="BH60" s="509"/>
      <c r="BI60" s="509"/>
    </row>
    <row r="61" spans="1:256" s="541" customFormat="1" ht="13.5" customHeight="1">
      <c r="A61" s="880" t="s">
        <v>593</v>
      </c>
      <c r="B61" s="881"/>
      <c r="C61" s="445" t="s">
        <v>265</v>
      </c>
      <c r="D61" s="882" t="s">
        <v>811</v>
      </c>
      <c r="E61" s="882" t="s">
        <v>98</v>
      </c>
      <c r="F61" s="548">
        <v>38.25</v>
      </c>
      <c r="G61" s="134"/>
      <c r="H61" s="883">
        <f t="shared" si="2"/>
        <v>0</v>
      </c>
      <c r="I61" s="449" t="s">
        <v>740</v>
      </c>
      <c r="J61" s="884"/>
      <c r="K61" s="885"/>
      <c r="L61" s="886"/>
      <c r="M61" s="887"/>
      <c r="N61" s="887"/>
      <c r="O61" s="888"/>
      <c r="P61" s="887"/>
      <c r="Q61" s="884"/>
      <c r="R61" s="889"/>
      <c r="S61" s="586"/>
      <c r="T61" s="452"/>
      <c r="U61" s="452"/>
      <c r="V61" s="452"/>
      <c r="W61" s="452"/>
      <c r="X61" s="452"/>
      <c r="Y61" s="505"/>
      <c r="Z61" s="505"/>
      <c r="AA61" s="505"/>
      <c r="AB61" s="505"/>
      <c r="AC61" s="505"/>
      <c r="AD61" s="505"/>
      <c r="AE61" s="505"/>
      <c r="AF61" s="505"/>
      <c r="AG61" s="505"/>
      <c r="AH61" s="505"/>
      <c r="AI61" s="505"/>
      <c r="AJ61" s="505"/>
      <c r="AK61" s="505"/>
      <c r="AL61" s="505"/>
      <c r="AM61" s="505"/>
      <c r="AN61" s="505"/>
      <c r="AO61" s="505"/>
      <c r="AP61" s="505"/>
      <c r="AQ61" s="505"/>
      <c r="AR61" s="505"/>
      <c r="AS61" s="505"/>
      <c r="AT61" s="505"/>
      <c r="AU61" s="505"/>
      <c r="AV61" s="505"/>
      <c r="AW61" s="505"/>
      <c r="AX61" s="505"/>
      <c r="AY61" s="452"/>
      <c r="AZ61" s="452"/>
      <c r="BA61" s="452"/>
      <c r="BB61" s="452"/>
      <c r="BC61" s="452"/>
      <c r="BD61" s="452"/>
      <c r="BE61" s="452"/>
      <c r="BF61" s="452"/>
      <c r="BG61" s="452"/>
      <c r="BH61" s="452"/>
      <c r="BI61" s="452"/>
    </row>
    <row r="62" spans="1:256" s="508" customFormat="1" ht="13.5" customHeight="1">
      <c r="A62" s="852" t="s">
        <v>594</v>
      </c>
      <c r="B62" s="872"/>
      <c r="C62" s="445" t="s">
        <v>293</v>
      </c>
      <c r="D62" s="882" t="s">
        <v>812</v>
      </c>
      <c r="E62" s="882" t="s">
        <v>98</v>
      </c>
      <c r="F62" s="548">
        <v>38.25</v>
      </c>
      <c r="G62" s="134"/>
      <c r="H62" s="883">
        <f t="shared" si="2"/>
        <v>0</v>
      </c>
      <c r="I62" s="449" t="s">
        <v>740</v>
      </c>
      <c r="J62" s="878"/>
      <c r="K62" s="879"/>
      <c r="L62" s="879"/>
      <c r="M62" s="879"/>
      <c r="N62" s="879"/>
      <c r="O62" s="668"/>
      <c r="P62" s="668"/>
      <c r="Q62" s="689"/>
      <c r="R62" s="670"/>
      <c r="S62" s="670"/>
      <c r="T62" s="671"/>
      <c r="U62" s="509"/>
      <c r="V62" s="691"/>
      <c r="W62" s="509"/>
      <c r="X62" s="509"/>
      <c r="Y62" s="505"/>
      <c r="Z62" s="505"/>
      <c r="AA62" s="505"/>
      <c r="AB62" s="505"/>
      <c r="AC62" s="505"/>
      <c r="AD62" s="505"/>
      <c r="AE62" s="505"/>
      <c r="AF62" s="505"/>
      <c r="AG62" s="505"/>
      <c r="AH62" s="505"/>
      <c r="AI62" s="505"/>
      <c r="AJ62" s="505"/>
      <c r="AK62" s="505"/>
      <c r="AL62" s="505"/>
      <c r="AM62" s="505"/>
      <c r="AN62" s="505"/>
      <c r="AO62" s="505"/>
      <c r="AP62" s="505"/>
      <c r="AQ62" s="505"/>
      <c r="AR62" s="505"/>
      <c r="AS62" s="505"/>
      <c r="AT62" s="505"/>
      <c r="AU62" s="505"/>
      <c r="AV62" s="505"/>
      <c r="AW62" s="505"/>
      <c r="AX62" s="505"/>
      <c r="AY62" s="509"/>
      <c r="AZ62" s="509"/>
      <c r="BA62" s="509"/>
      <c r="BB62" s="509"/>
      <c r="BC62" s="509"/>
      <c r="BD62" s="509"/>
      <c r="BE62" s="509"/>
      <c r="BF62" s="509"/>
      <c r="BG62" s="509"/>
      <c r="BH62" s="509"/>
      <c r="BI62" s="509"/>
    </row>
    <row r="63" spans="1:256" s="541" customFormat="1" ht="13.5" customHeight="1">
      <c r="A63" s="880" t="s">
        <v>595</v>
      </c>
      <c r="B63" s="881"/>
      <c r="C63" s="445" t="s">
        <v>265</v>
      </c>
      <c r="D63" s="882" t="s">
        <v>811</v>
      </c>
      <c r="E63" s="882" t="s">
        <v>98</v>
      </c>
      <c r="F63" s="548">
        <v>38.25</v>
      </c>
      <c r="G63" s="134"/>
      <c r="H63" s="883">
        <f t="shared" si="2"/>
        <v>0</v>
      </c>
      <c r="I63" s="449" t="s">
        <v>740</v>
      </c>
      <c r="J63" s="884"/>
      <c r="K63" s="885"/>
      <c r="L63" s="886"/>
      <c r="M63" s="887"/>
      <c r="N63" s="887"/>
      <c r="O63" s="888"/>
      <c r="P63" s="887"/>
      <c r="Q63" s="884"/>
      <c r="R63" s="889"/>
      <c r="S63" s="586"/>
      <c r="T63" s="452"/>
      <c r="U63" s="452"/>
      <c r="V63" s="452"/>
      <c r="W63" s="452"/>
      <c r="X63" s="452"/>
      <c r="Y63" s="612"/>
      <c r="Z63" s="612"/>
      <c r="AA63" s="612"/>
      <c r="AB63" s="612"/>
      <c r="AC63" s="612"/>
      <c r="AD63" s="612"/>
      <c r="AE63" s="612"/>
      <c r="AF63" s="612"/>
      <c r="AG63" s="612"/>
      <c r="AH63" s="612"/>
      <c r="AI63" s="612"/>
      <c r="AJ63" s="612"/>
      <c r="AK63" s="612"/>
      <c r="AL63" s="612"/>
      <c r="AM63" s="612"/>
      <c r="AN63" s="612"/>
      <c r="AO63" s="612"/>
      <c r="AP63" s="612"/>
      <c r="AQ63" s="612"/>
      <c r="AR63" s="612"/>
      <c r="AS63" s="612"/>
      <c r="AT63" s="612"/>
      <c r="AU63" s="612"/>
      <c r="AV63" s="612"/>
      <c r="AW63" s="612"/>
      <c r="AX63" s="612"/>
      <c r="AY63" s="452"/>
      <c r="AZ63" s="452"/>
      <c r="BA63" s="452"/>
      <c r="BB63" s="452"/>
      <c r="BC63" s="452"/>
      <c r="BD63" s="452"/>
      <c r="BE63" s="452"/>
      <c r="BF63" s="452"/>
      <c r="BG63" s="452"/>
      <c r="BH63" s="452"/>
      <c r="BI63" s="452"/>
    </row>
    <row r="64" spans="1:256" s="508" customFormat="1" ht="13.5" customHeight="1">
      <c r="A64" s="852" t="s">
        <v>596</v>
      </c>
      <c r="B64" s="872"/>
      <c r="C64" s="445">
        <v>564861111</v>
      </c>
      <c r="D64" s="36" t="s">
        <v>813</v>
      </c>
      <c r="E64" s="445" t="s">
        <v>98</v>
      </c>
      <c r="F64" s="548">
        <v>38.25</v>
      </c>
      <c r="G64" s="133"/>
      <c r="H64" s="853">
        <f t="shared" si="2"/>
        <v>0</v>
      </c>
      <c r="I64" s="449" t="s">
        <v>738</v>
      </c>
      <c r="J64" s="878"/>
      <c r="K64" s="879"/>
      <c r="L64" s="879"/>
      <c r="M64" s="879"/>
      <c r="N64" s="879"/>
      <c r="O64" s="890"/>
      <c r="P64" s="668"/>
      <c r="Q64" s="689"/>
      <c r="R64" s="670"/>
      <c r="S64" s="670"/>
      <c r="T64" s="671"/>
      <c r="U64" s="509"/>
      <c r="V64" s="691"/>
      <c r="W64" s="509"/>
      <c r="X64" s="509"/>
      <c r="Y64" s="612"/>
      <c r="Z64" s="612"/>
      <c r="AA64" s="612"/>
      <c r="AB64" s="612"/>
      <c r="AC64" s="612"/>
      <c r="AD64" s="612"/>
      <c r="AE64" s="612"/>
      <c r="AF64" s="612"/>
      <c r="AG64" s="612"/>
      <c r="AH64" s="612"/>
      <c r="AI64" s="612"/>
      <c r="AJ64" s="612"/>
      <c r="AK64" s="612"/>
      <c r="AL64" s="612"/>
      <c r="AM64" s="612"/>
      <c r="AN64" s="612"/>
      <c r="AO64" s="612"/>
      <c r="AP64" s="612"/>
      <c r="AQ64" s="612"/>
      <c r="AR64" s="612"/>
      <c r="AS64" s="612"/>
      <c r="AT64" s="612"/>
      <c r="AU64" s="612"/>
      <c r="AV64" s="612"/>
      <c r="AW64" s="612"/>
      <c r="AX64" s="612"/>
      <c r="AY64" s="509"/>
      <c r="AZ64" s="509"/>
      <c r="BA64" s="509"/>
      <c r="BB64" s="509"/>
      <c r="BC64" s="509"/>
      <c r="BD64" s="509"/>
      <c r="BE64" s="509"/>
      <c r="BF64" s="509"/>
      <c r="BG64" s="509"/>
      <c r="BH64" s="509"/>
      <c r="BI64" s="509"/>
    </row>
    <row r="65" spans="1:61" s="508" customFormat="1" ht="13.5" customHeight="1">
      <c r="A65" s="852" t="s">
        <v>597</v>
      </c>
      <c r="B65" s="872"/>
      <c r="C65" s="445">
        <v>564751113</v>
      </c>
      <c r="D65" s="36" t="s">
        <v>814</v>
      </c>
      <c r="E65" s="445" t="s">
        <v>98</v>
      </c>
      <c r="F65" s="548">
        <v>38.25</v>
      </c>
      <c r="G65" s="133"/>
      <c r="H65" s="853">
        <f t="shared" si="2"/>
        <v>0</v>
      </c>
      <c r="I65" s="449" t="s">
        <v>738</v>
      </c>
      <c r="J65" s="878"/>
      <c r="K65" s="879"/>
      <c r="L65" s="879"/>
      <c r="M65" s="879"/>
      <c r="N65" s="879"/>
      <c r="O65" s="668"/>
      <c r="P65" s="668"/>
      <c r="Q65" s="689"/>
      <c r="R65" s="670"/>
      <c r="S65" s="670"/>
      <c r="T65" s="671"/>
      <c r="U65" s="509"/>
      <c r="V65" s="691"/>
      <c r="W65" s="509"/>
      <c r="X65" s="509"/>
      <c r="Y65" s="505"/>
      <c r="Z65" s="505"/>
      <c r="AA65" s="505"/>
      <c r="AB65" s="505"/>
      <c r="AC65" s="505"/>
      <c r="AD65" s="505"/>
      <c r="AE65" s="505"/>
      <c r="AF65" s="505"/>
      <c r="AG65" s="505"/>
      <c r="AH65" s="505"/>
      <c r="AI65" s="505"/>
      <c r="AJ65" s="505"/>
      <c r="AK65" s="505"/>
      <c r="AL65" s="505"/>
      <c r="AM65" s="505"/>
      <c r="AN65" s="505"/>
      <c r="AO65" s="505"/>
      <c r="AP65" s="505"/>
      <c r="AQ65" s="505"/>
      <c r="AR65" s="505"/>
      <c r="AS65" s="505"/>
      <c r="AT65" s="505"/>
      <c r="AU65" s="505"/>
      <c r="AV65" s="505"/>
      <c r="AW65" s="505"/>
      <c r="AX65" s="505"/>
      <c r="AY65" s="509"/>
      <c r="AZ65" s="509"/>
      <c r="BA65" s="509"/>
      <c r="BB65" s="509"/>
      <c r="BC65" s="509"/>
      <c r="BD65" s="509"/>
      <c r="BE65" s="509"/>
      <c r="BF65" s="509"/>
      <c r="BG65" s="509"/>
      <c r="BH65" s="509"/>
      <c r="BI65" s="509"/>
    </row>
    <row r="66" spans="1:61" s="508" customFormat="1" ht="13.5" customHeight="1">
      <c r="A66" s="871"/>
      <c r="B66" s="872"/>
      <c r="C66" s="873"/>
      <c r="D66" s="36" t="s">
        <v>809</v>
      </c>
      <c r="E66" s="891"/>
      <c r="F66" s="548">
        <f>(34.9+2-2.15)*1</f>
        <v>34.75</v>
      </c>
      <c r="G66" s="892"/>
      <c r="H66" s="892"/>
      <c r="I66" s="697"/>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3"/>
      <c r="AK66" s="313"/>
      <c r="AL66" s="313"/>
      <c r="AM66" s="313"/>
      <c r="AN66" s="313"/>
      <c r="AO66" s="313"/>
      <c r="AP66" s="313"/>
      <c r="AQ66" s="313"/>
      <c r="AR66" s="313"/>
      <c r="AS66" s="313"/>
      <c r="AT66" s="313"/>
      <c r="AU66" s="313"/>
      <c r="AV66" s="313"/>
      <c r="AW66" s="313"/>
      <c r="AX66" s="313"/>
      <c r="AY66" s="509"/>
      <c r="AZ66" s="509"/>
      <c r="BA66" s="509"/>
      <c r="BB66" s="509"/>
      <c r="BC66" s="509"/>
      <c r="BD66" s="509"/>
      <c r="BE66" s="509"/>
      <c r="BF66" s="509"/>
      <c r="BG66" s="509"/>
      <c r="BH66" s="509"/>
      <c r="BI66" s="509"/>
    </row>
    <row r="67" spans="1:61" s="508" customFormat="1" ht="13.5" customHeight="1">
      <c r="A67" s="530"/>
      <c r="B67" s="34"/>
      <c r="C67" s="34"/>
      <c r="D67" s="36" t="s">
        <v>179</v>
      </c>
      <c r="E67" s="34"/>
      <c r="F67" s="548"/>
      <c r="G67" s="532"/>
      <c r="H67" s="532"/>
      <c r="I67" s="533"/>
      <c r="J67" s="313"/>
      <c r="K67" s="313"/>
      <c r="L67" s="313"/>
      <c r="M67" s="313"/>
      <c r="N67" s="313"/>
      <c r="O67" s="313"/>
      <c r="P67" s="313"/>
      <c r="Q67" s="870"/>
      <c r="R67" s="670"/>
      <c r="S67" s="670"/>
      <c r="T67" s="671"/>
      <c r="U67" s="509"/>
      <c r="V67" s="691"/>
      <c r="W67" s="509"/>
      <c r="X67" s="509"/>
      <c r="Y67" s="509"/>
      <c r="Z67" s="509"/>
      <c r="AA67" s="509"/>
      <c r="AB67" s="509"/>
      <c r="AC67" s="509"/>
      <c r="AD67" s="509"/>
      <c r="AE67" s="509"/>
      <c r="AF67" s="509"/>
      <c r="AG67" s="509"/>
      <c r="AH67" s="509"/>
      <c r="AI67" s="509"/>
      <c r="AJ67" s="509"/>
      <c r="AK67" s="509"/>
      <c r="AL67" s="509"/>
      <c r="AM67" s="509"/>
      <c r="AN67" s="509"/>
      <c r="AO67" s="509"/>
      <c r="AP67" s="509"/>
      <c r="AQ67" s="509"/>
      <c r="AR67" s="509"/>
      <c r="AS67" s="509"/>
      <c r="AT67" s="509"/>
      <c r="AU67" s="509"/>
      <c r="AV67" s="509"/>
      <c r="AW67" s="509"/>
      <c r="AX67" s="509"/>
      <c r="AY67" s="509"/>
      <c r="AZ67" s="509"/>
      <c r="BA67" s="509"/>
      <c r="BB67" s="509"/>
      <c r="BC67" s="509"/>
      <c r="BD67" s="509"/>
      <c r="BE67" s="509"/>
      <c r="BF67" s="509"/>
      <c r="BG67" s="509"/>
      <c r="BH67" s="509"/>
      <c r="BI67" s="509"/>
    </row>
    <row r="68" spans="1:61" s="506" customFormat="1" ht="13.5" customHeight="1">
      <c r="A68" s="530"/>
      <c r="B68" s="34"/>
      <c r="C68" s="694" t="s">
        <v>128</v>
      </c>
      <c r="D68" s="694" t="s">
        <v>129</v>
      </c>
      <c r="E68" s="694"/>
      <c r="F68" s="695"/>
      <c r="G68" s="696"/>
      <c r="H68" s="326">
        <f>SUM(H69:H79,H84:H86,H91)</f>
        <v>0</v>
      </c>
      <c r="I68" s="893"/>
      <c r="J68" s="876"/>
      <c r="K68" s="867"/>
      <c r="L68" s="867"/>
      <c r="M68" s="867"/>
      <c r="N68" s="867"/>
      <c r="O68" s="868"/>
      <c r="P68" s="869"/>
      <c r="Q68" s="870"/>
      <c r="R68" s="670"/>
      <c r="S68" s="670"/>
      <c r="T68" s="671"/>
      <c r="U68" s="509"/>
      <c r="V68" s="691"/>
      <c r="W68" s="509"/>
      <c r="X68" s="509"/>
      <c r="Y68" s="509"/>
      <c r="Z68" s="509"/>
      <c r="AA68" s="509"/>
      <c r="AB68" s="509"/>
      <c r="AC68" s="509"/>
      <c r="AD68" s="509"/>
      <c r="AE68" s="509"/>
      <c r="AF68" s="509"/>
      <c r="AG68" s="509"/>
      <c r="AH68" s="509"/>
      <c r="AI68" s="509"/>
      <c r="AJ68" s="509"/>
      <c r="AK68" s="509"/>
      <c r="AL68" s="509"/>
      <c r="AM68" s="509"/>
      <c r="AN68" s="509"/>
      <c r="AO68" s="509"/>
      <c r="AP68" s="509"/>
      <c r="AQ68" s="509"/>
      <c r="AR68" s="509"/>
      <c r="AS68" s="509"/>
      <c r="AT68" s="509"/>
      <c r="AU68" s="509"/>
      <c r="AV68" s="509"/>
      <c r="AW68" s="509"/>
      <c r="AX68" s="509"/>
      <c r="AY68" s="505"/>
      <c r="AZ68" s="505"/>
      <c r="BA68" s="505"/>
      <c r="BB68" s="505"/>
      <c r="BC68" s="505"/>
      <c r="BD68" s="505"/>
      <c r="BE68" s="505"/>
      <c r="BF68" s="505"/>
      <c r="BG68" s="505"/>
      <c r="BH68" s="505"/>
      <c r="BI68" s="505"/>
    </row>
    <row r="69" spans="1:61" s="563" customFormat="1" ht="27" customHeight="1">
      <c r="A69" s="894">
        <v>21</v>
      </c>
      <c r="B69" s="556" t="s">
        <v>182</v>
      </c>
      <c r="C69" s="557" t="s">
        <v>240</v>
      </c>
      <c r="D69" s="557" t="s">
        <v>241</v>
      </c>
      <c r="E69" s="557" t="s">
        <v>115</v>
      </c>
      <c r="F69" s="895">
        <f>SUM(F70:F70)</f>
        <v>69.5</v>
      </c>
      <c r="G69" s="125"/>
      <c r="H69" s="560">
        <f>F69*G69</f>
        <v>0</v>
      </c>
      <c r="I69" s="896" t="s">
        <v>739</v>
      </c>
      <c r="J69" s="897"/>
      <c r="K69" s="879"/>
      <c r="L69" s="879"/>
      <c r="M69" s="879"/>
      <c r="N69" s="879"/>
      <c r="O69" s="668"/>
      <c r="P69" s="668"/>
      <c r="Q69" s="689"/>
      <c r="R69" s="670"/>
      <c r="S69" s="670"/>
      <c r="T69" s="671"/>
      <c r="U69" s="509"/>
      <c r="V69" s="691"/>
      <c r="W69" s="509"/>
      <c r="X69" s="509"/>
      <c r="Y69" s="509"/>
      <c r="Z69" s="509"/>
      <c r="AA69" s="509"/>
      <c r="AB69" s="509"/>
      <c r="AC69" s="509"/>
      <c r="AD69" s="509"/>
      <c r="AE69" s="509"/>
      <c r="AF69" s="509"/>
      <c r="AG69" s="509"/>
      <c r="AH69" s="509"/>
      <c r="AI69" s="509"/>
      <c r="AJ69" s="509"/>
      <c r="AK69" s="509"/>
      <c r="AL69" s="509"/>
      <c r="AM69" s="509"/>
      <c r="AN69" s="509"/>
      <c r="AO69" s="509"/>
      <c r="AP69" s="509"/>
      <c r="AQ69" s="509"/>
      <c r="AR69" s="509"/>
      <c r="AS69" s="509"/>
      <c r="AT69" s="509"/>
      <c r="AU69" s="509"/>
      <c r="AV69" s="509"/>
      <c r="AW69" s="509"/>
      <c r="AX69" s="509"/>
      <c r="AY69" s="373"/>
      <c r="AZ69" s="373"/>
      <c r="BA69" s="373"/>
      <c r="BB69" s="373"/>
      <c r="BC69" s="373"/>
      <c r="BD69" s="373"/>
      <c r="BE69" s="373"/>
      <c r="BF69" s="373"/>
      <c r="BG69" s="373"/>
      <c r="BH69" s="373"/>
      <c r="BI69" s="373"/>
    </row>
    <row r="70" spans="1:61" s="563" customFormat="1" ht="13.5" customHeight="1">
      <c r="A70" s="894"/>
      <c r="B70" s="556"/>
      <c r="C70" s="557"/>
      <c r="D70" s="558" t="s">
        <v>815</v>
      </c>
      <c r="E70" s="557"/>
      <c r="F70" s="559">
        <f>(34.9+2-2.15)*2</f>
        <v>69.5</v>
      </c>
      <c r="G70" s="560"/>
      <c r="H70" s="560"/>
      <c r="I70" s="896"/>
      <c r="J70" s="884"/>
      <c r="K70" s="885"/>
      <c r="L70" s="886"/>
      <c r="M70" s="887"/>
      <c r="N70" s="887"/>
      <c r="O70" s="888"/>
      <c r="P70" s="887"/>
      <c r="Q70" s="884"/>
      <c r="R70" s="889"/>
      <c r="S70" s="586"/>
      <c r="T70" s="452"/>
      <c r="U70" s="452"/>
      <c r="V70" s="452"/>
      <c r="W70" s="452"/>
      <c r="X70" s="452"/>
      <c r="Y70" s="452"/>
      <c r="Z70" s="452"/>
      <c r="AA70" s="452"/>
      <c r="AB70" s="452"/>
      <c r="AC70" s="452"/>
      <c r="AD70" s="452"/>
      <c r="AE70" s="452"/>
      <c r="AF70" s="452"/>
      <c r="AG70" s="452"/>
      <c r="AH70" s="452"/>
      <c r="AI70" s="452"/>
      <c r="AJ70" s="452"/>
      <c r="AK70" s="452"/>
      <c r="AL70" s="452"/>
      <c r="AM70" s="452"/>
      <c r="AN70" s="452"/>
      <c r="AO70" s="452"/>
      <c r="AP70" s="452"/>
      <c r="AQ70" s="452"/>
      <c r="AR70" s="452"/>
      <c r="AS70" s="452"/>
      <c r="AT70" s="452"/>
      <c r="AU70" s="452"/>
      <c r="AV70" s="452"/>
      <c r="AW70" s="452"/>
      <c r="AX70" s="452"/>
      <c r="AY70" s="373"/>
      <c r="AZ70" s="373"/>
      <c r="BA70" s="373"/>
      <c r="BB70" s="373"/>
      <c r="BC70" s="373"/>
      <c r="BD70" s="373"/>
      <c r="BE70" s="373"/>
      <c r="BF70" s="373"/>
      <c r="BG70" s="373"/>
      <c r="BH70" s="373"/>
      <c r="BI70" s="373"/>
    </row>
    <row r="71" spans="1:61" s="900" customFormat="1" ht="108" customHeight="1">
      <c r="A71" s="894"/>
      <c r="B71" s="556"/>
      <c r="C71" s="557"/>
      <c r="D71" s="898" t="s">
        <v>242</v>
      </c>
      <c r="E71" s="557"/>
      <c r="F71" s="560"/>
      <c r="G71" s="560"/>
      <c r="H71" s="560"/>
      <c r="I71" s="896"/>
      <c r="J71" s="878"/>
      <c r="K71" s="879"/>
      <c r="L71" s="879"/>
      <c r="M71" s="879"/>
      <c r="N71" s="879"/>
      <c r="O71" s="890"/>
      <c r="P71" s="668"/>
      <c r="Q71" s="689"/>
      <c r="R71" s="670"/>
      <c r="S71" s="670"/>
      <c r="T71" s="671"/>
      <c r="U71" s="509"/>
      <c r="V71" s="691"/>
      <c r="W71" s="509"/>
      <c r="X71" s="509"/>
      <c r="Y71" s="509"/>
      <c r="Z71" s="509"/>
      <c r="AA71" s="509"/>
      <c r="AB71" s="509"/>
      <c r="AC71" s="509"/>
      <c r="AD71" s="509"/>
      <c r="AE71" s="509"/>
      <c r="AF71" s="509"/>
      <c r="AG71" s="509"/>
      <c r="AH71" s="509"/>
      <c r="AI71" s="509"/>
      <c r="AJ71" s="509"/>
      <c r="AK71" s="509"/>
      <c r="AL71" s="509"/>
      <c r="AM71" s="509"/>
      <c r="AN71" s="509"/>
      <c r="AO71" s="509"/>
      <c r="AP71" s="509"/>
      <c r="AQ71" s="509"/>
      <c r="AR71" s="509"/>
      <c r="AS71" s="509"/>
      <c r="AT71" s="509"/>
      <c r="AU71" s="509"/>
      <c r="AV71" s="509"/>
      <c r="AW71" s="509"/>
      <c r="AX71" s="509"/>
      <c r="AY71" s="899"/>
      <c r="AZ71" s="899"/>
      <c r="BA71" s="899"/>
      <c r="BB71" s="899"/>
      <c r="BC71" s="899"/>
      <c r="BD71" s="899"/>
      <c r="BE71" s="899"/>
      <c r="BF71" s="899"/>
      <c r="BG71" s="899"/>
      <c r="BH71" s="899"/>
      <c r="BI71" s="899"/>
    </row>
    <row r="72" spans="1:61" s="563" customFormat="1" ht="67.5" customHeight="1">
      <c r="A72" s="901"/>
      <c r="B72" s="902"/>
      <c r="C72" s="903"/>
      <c r="D72" s="388" t="s">
        <v>195</v>
      </c>
      <c r="E72" s="558"/>
      <c r="F72" s="904"/>
      <c r="G72" s="905"/>
      <c r="H72" s="560"/>
      <c r="I72" s="906"/>
      <c r="J72" s="878"/>
      <c r="K72" s="879"/>
      <c r="L72" s="879"/>
      <c r="M72" s="879"/>
      <c r="N72" s="879"/>
      <c r="O72" s="668"/>
      <c r="P72" s="668"/>
      <c r="Q72" s="689"/>
      <c r="R72" s="670"/>
      <c r="S72" s="670"/>
      <c r="T72" s="671"/>
      <c r="U72" s="509"/>
      <c r="V72" s="691"/>
      <c r="W72" s="509"/>
      <c r="X72" s="509"/>
      <c r="Y72" s="509"/>
      <c r="Z72" s="509"/>
      <c r="AA72" s="509"/>
      <c r="AB72" s="509"/>
      <c r="AC72" s="509"/>
      <c r="AD72" s="509"/>
      <c r="AE72" s="509"/>
      <c r="AF72" s="509"/>
      <c r="AG72" s="509"/>
      <c r="AH72" s="509"/>
      <c r="AI72" s="509"/>
      <c r="AJ72" s="509"/>
      <c r="AK72" s="509"/>
      <c r="AL72" s="509"/>
      <c r="AM72" s="509"/>
      <c r="AN72" s="509"/>
      <c r="AO72" s="509"/>
      <c r="AP72" s="509"/>
      <c r="AQ72" s="509"/>
      <c r="AR72" s="509"/>
      <c r="AS72" s="509"/>
      <c r="AT72" s="509"/>
      <c r="AU72" s="509"/>
      <c r="AV72" s="509"/>
      <c r="AW72" s="509"/>
      <c r="AX72" s="509"/>
      <c r="AY72" s="373"/>
      <c r="AZ72" s="373"/>
      <c r="BA72" s="373"/>
      <c r="BB72" s="373"/>
      <c r="BC72" s="373"/>
      <c r="BD72" s="373"/>
      <c r="BE72" s="373"/>
      <c r="BF72" s="373"/>
      <c r="BG72" s="373"/>
      <c r="BH72" s="373"/>
      <c r="BI72" s="373"/>
    </row>
    <row r="73" spans="1:61" s="541" customFormat="1" ht="13.5" customHeight="1">
      <c r="A73" s="564" t="s">
        <v>276</v>
      </c>
      <c r="B73" s="536" t="s">
        <v>182</v>
      </c>
      <c r="C73" s="537" t="s">
        <v>253</v>
      </c>
      <c r="D73" s="537" t="s">
        <v>252</v>
      </c>
      <c r="E73" s="537" t="s">
        <v>98</v>
      </c>
      <c r="F73" s="565">
        <f>F75</f>
        <v>1.1000000000000001</v>
      </c>
      <c r="G73" s="115"/>
      <c r="H73" s="907">
        <f>F73*G73</f>
        <v>0</v>
      </c>
      <c r="I73" s="896" t="s">
        <v>739</v>
      </c>
      <c r="J73" s="908"/>
      <c r="K73" s="909"/>
      <c r="L73" s="910"/>
      <c r="M73" s="911"/>
      <c r="N73" s="911"/>
      <c r="O73" s="911"/>
      <c r="P73" s="912"/>
      <c r="Q73" s="913"/>
      <c r="R73" s="913"/>
      <c r="S73" s="574"/>
      <c r="T73" s="452"/>
      <c r="U73" s="452"/>
      <c r="V73" s="452"/>
      <c r="W73" s="452"/>
      <c r="X73" s="452"/>
      <c r="Y73" s="452"/>
      <c r="Z73" s="452"/>
      <c r="AA73" s="452"/>
      <c r="AB73" s="452"/>
      <c r="AC73" s="452"/>
      <c r="AD73" s="452"/>
      <c r="AE73" s="452"/>
      <c r="AF73" s="452"/>
      <c r="AG73" s="452"/>
      <c r="AH73" s="452"/>
      <c r="AI73" s="452"/>
      <c r="AJ73" s="452"/>
      <c r="AK73" s="452"/>
      <c r="AL73" s="452"/>
      <c r="AM73" s="452"/>
      <c r="AN73" s="452"/>
      <c r="AO73" s="452"/>
      <c r="AP73" s="452"/>
      <c r="AQ73" s="452"/>
      <c r="AR73" s="452"/>
      <c r="AS73" s="452"/>
      <c r="AT73" s="452"/>
      <c r="AU73" s="452"/>
      <c r="AV73" s="452"/>
      <c r="AW73" s="452"/>
      <c r="AX73" s="452"/>
      <c r="AY73" s="452"/>
      <c r="AZ73" s="452"/>
      <c r="BA73" s="452"/>
      <c r="BB73" s="452"/>
      <c r="BC73" s="452"/>
      <c r="BD73" s="452"/>
      <c r="BE73" s="452"/>
      <c r="BF73" s="452"/>
      <c r="BG73" s="452"/>
      <c r="BH73" s="452"/>
      <c r="BI73" s="452"/>
    </row>
    <row r="74" spans="1:61" s="541" customFormat="1" ht="40.5" customHeight="1">
      <c r="A74" s="535"/>
      <c r="B74" s="537"/>
      <c r="C74" s="537"/>
      <c r="D74" s="542" t="s">
        <v>452</v>
      </c>
      <c r="E74" s="537"/>
      <c r="F74" s="543"/>
      <c r="G74" s="907"/>
      <c r="H74" s="907"/>
      <c r="I74" s="914"/>
      <c r="J74" s="908"/>
      <c r="K74" s="909"/>
      <c r="L74" s="459"/>
      <c r="M74" s="459"/>
      <c r="N74" s="459"/>
      <c r="O74" s="915"/>
      <c r="P74" s="459"/>
      <c r="Q74" s="459"/>
      <c r="R74" s="916"/>
      <c r="S74" s="574"/>
      <c r="T74" s="452"/>
      <c r="U74" s="452"/>
      <c r="V74" s="452"/>
      <c r="W74" s="452"/>
      <c r="X74" s="452"/>
      <c r="Y74" s="452"/>
      <c r="Z74" s="452"/>
      <c r="AA74" s="452"/>
      <c r="AB74" s="452"/>
      <c r="AC74" s="452"/>
      <c r="AD74" s="452"/>
      <c r="AE74" s="452"/>
      <c r="AF74" s="452"/>
      <c r="AG74" s="452"/>
      <c r="AH74" s="452"/>
      <c r="AI74" s="452"/>
      <c r="AJ74" s="452"/>
      <c r="AK74" s="452"/>
      <c r="AL74" s="452"/>
      <c r="AM74" s="452"/>
      <c r="AN74" s="452"/>
      <c r="AO74" s="452"/>
      <c r="AP74" s="452"/>
      <c r="AQ74" s="452"/>
      <c r="AR74" s="452"/>
      <c r="AS74" s="452"/>
      <c r="AT74" s="452"/>
      <c r="AU74" s="452"/>
      <c r="AV74" s="452"/>
      <c r="AW74" s="452"/>
      <c r="AX74" s="452"/>
      <c r="AY74" s="452"/>
      <c r="AZ74" s="452"/>
      <c r="BA74" s="452"/>
      <c r="BB74" s="452"/>
      <c r="BC74" s="452"/>
      <c r="BD74" s="452"/>
      <c r="BE74" s="452"/>
      <c r="BF74" s="452"/>
      <c r="BG74" s="452"/>
      <c r="BH74" s="452"/>
      <c r="BI74" s="452"/>
    </row>
    <row r="75" spans="1:61" s="541" customFormat="1" ht="13.5" customHeight="1">
      <c r="A75" s="564"/>
      <c r="B75" s="536"/>
      <c r="C75" s="537"/>
      <c r="D75" s="542" t="s">
        <v>454</v>
      </c>
      <c r="E75" s="537"/>
      <c r="F75" s="543">
        <f>((1)*1)*1.1</f>
        <v>1.1000000000000001</v>
      </c>
      <c r="G75" s="907"/>
      <c r="H75" s="907"/>
      <c r="I75" s="917"/>
      <c r="J75" s="908"/>
      <c r="K75" s="909"/>
      <c r="L75" s="459"/>
      <c r="M75" s="459"/>
      <c r="N75" s="459"/>
      <c r="O75" s="459"/>
      <c r="P75" s="459"/>
      <c r="Q75" s="459"/>
      <c r="R75" s="916"/>
      <c r="S75" s="574"/>
      <c r="T75" s="452"/>
      <c r="U75" s="452"/>
      <c r="V75" s="452"/>
      <c r="W75" s="452"/>
      <c r="X75" s="452"/>
      <c r="Y75" s="452"/>
      <c r="Z75" s="452"/>
      <c r="AA75" s="452"/>
      <c r="AB75" s="452"/>
      <c r="AC75" s="452"/>
      <c r="AD75" s="452"/>
      <c r="AE75" s="452"/>
      <c r="AF75" s="452"/>
      <c r="AG75" s="452"/>
      <c r="AH75" s="452"/>
      <c r="AI75" s="452"/>
      <c r="AJ75" s="452"/>
      <c r="AK75" s="452"/>
      <c r="AL75" s="452"/>
      <c r="AM75" s="452"/>
      <c r="AN75" s="452"/>
      <c r="AO75" s="452"/>
      <c r="AP75" s="452"/>
      <c r="AQ75" s="452"/>
      <c r="AR75" s="452"/>
      <c r="AS75" s="452"/>
      <c r="AT75" s="452"/>
      <c r="AU75" s="452"/>
      <c r="AV75" s="452"/>
      <c r="AW75" s="452"/>
      <c r="AX75" s="452"/>
      <c r="AY75" s="452"/>
      <c r="AZ75" s="452"/>
      <c r="BA75" s="452"/>
      <c r="BB75" s="452"/>
      <c r="BC75" s="452"/>
      <c r="BD75" s="452"/>
      <c r="BE75" s="452"/>
      <c r="BF75" s="452"/>
      <c r="BG75" s="452"/>
      <c r="BH75" s="452"/>
      <c r="BI75" s="452"/>
    </row>
    <row r="76" spans="1:61" s="541" customFormat="1" ht="15">
      <c r="A76" s="564"/>
      <c r="B76" s="536"/>
      <c r="C76" s="537"/>
      <c r="D76" s="542" t="s">
        <v>453</v>
      </c>
      <c r="E76" s="537"/>
      <c r="F76" s="543"/>
      <c r="G76" s="907"/>
      <c r="H76" s="907"/>
      <c r="I76" s="918"/>
      <c r="J76" s="908"/>
      <c r="K76" s="909"/>
      <c r="L76" s="459"/>
      <c r="M76" s="459"/>
      <c r="N76" s="459"/>
      <c r="O76" s="459"/>
      <c r="P76" s="459"/>
      <c r="Q76" s="459"/>
      <c r="R76" s="916"/>
      <c r="S76" s="574"/>
      <c r="T76" s="452"/>
      <c r="U76" s="452"/>
      <c r="V76" s="452"/>
      <c r="W76" s="452"/>
      <c r="X76" s="452"/>
      <c r="Y76" s="452"/>
      <c r="Z76" s="452"/>
      <c r="AA76" s="452"/>
      <c r="AB76" s="452"/>
      <c r="AC76" s="452"/>
      <c r="AD76" s="452"/>
      <c r="AE76" s="452"/>
      <c r="AF76" s="452"/>
      <c r="AG76" s="452"/>
      <c r="AH76" s="452"/>
      <c r="AI76" s="452"/>
      <c r="AJ76" s="452"/>
      <c r="AK76" s="452"/>
      <c r="AL76" s="452"/>
      <c r="AM76" s="452"/>
      <c r="AN76" s="452"/>
      <c r="AO76" s="452"/>
      <c r="AP76" s="452"/>
      <c r="AQ76" s="452"/>
      <c r="AR76" s="452"/>
      <c r="AS76" s="452"/>
      <c r="AT76" s="452"/>
      <c r="AU76" s="452"/>
      <c r="AV76" s="452"/>
      <c r="AW76" s="452"/>
      <c r="AX76" s="452"/>
      <c r="AY76" s="452"/>
      <c r="AZ76" s="452"/>
      <c r="BA76" s="452"/>
      <c r="BB76" s="452"/>
      <c r="BC76" s="452"/>
      <c r="BD76" s="452"/>
      <c r="BE76" s="452"/>
      <c r="BF76" s="452"/>
      <c r="BG76" s="452"/>
      <c r="BH76" s="452"/>
      <c r="BI76" s="452"/>
    </row>
    <row r="77" spans="1:61" s="563" customFormat="1" ht="67.5" customHeight="1">
      <c r="A77" s="901"/>
      <c r="B77" s="902"/>
      <c r="C77" s="903"/>
      <c r="D77" s="388" t="s">
        <v>195</v>
      </c>
      <c r="E77" s="558"/>
      <c r="F77" s="904"/>
      <c r="G77" s="905"/>
      <c r="H77" s="560"/>
      <c r="I77" s="906"/>
      <c r="J77" s="919"/>
      <c r="K77" s="920"/>
      <c r="L77" s="887"/>
      <c r="M77" s="921"/>
      <c r="N77" s="921"/>
      <c r="O77" s="921"/>
      <c r="P77" s="922"/>
      <c r="Q77" s="923"/>
      <c r="R77" s="923"/>
      <c r="S77" s="574"/>
      <c r="T77" s="373"/>
      <c r="U77" s="373"/>
      <c r="V77" s="374"/>
      <c r="W77" s="373"/>
      <c r="X77" s="373"/>
      <c r="Y77" s="373"/>
      <c r="Z77" s="373"/>
      <c r="AA77" s="373"/>
      <c r="AB77" s="373"/>
      <c r="AC77" s="373"/>
      <c r="AD77" s="373"/>
      <c r="AE77" s="373"/>
      <c r="AF77" s="373"/>
      <c r="AG77" s="373"/>
      <c r="AH77" s="373"/>
      <c r="AI77" s="373"/>
      <c r="AJ77" s="373"/>
      <c r="AK77" s="373"/>
      <c r="AL77" s="373"/>
      <c r="AM77" s="373"/>
      <c r="AN77" s="373"/>
      <c r="AO77" s="373"/>
      <c r="AP77" s="373"/>
      <c r="AQ77" s="373"/>
      <c r="AR77" s="373"/>
      <c r="AS77" s="373"/>
      <c r="AT77" s="373"/>
      <c r="AU77" s="373"/>
      <c r="AV77" s="373"/>
      <c r="AW77" s="373"/>
      <c r="AX77" s="373"/>
      <c r="AY77" s="373"/>
      <c r="AZ77" s="373"/>
      <c r="BA77" s="373"/>
      <c r="BB77" s="373"/>
      <c r="BC77" s="373"/>
      <c r="BD77" s="373"/>
      <c r="BE77" s="373"/>
      <c r="BF77" s="373"/>
      <c r="BG77" s="373"/>
      <c r="BH77" s="373"/>
      <c r="BI77" s="373"/>
    </row>
    <row r="78" spans="1:61" s="508" customFormat="1" ht="27" customHeight="1">
      <c r="A78" s="530">
        <v>23</v>
      </c>
      <c r="B78" s="424" t="s">
        <v>133</v>
      </c>
      <c r="C78" s="427" t="s">
        <v>136</v>
      </c>
      <c r="D78" s="34" t="s">
        <v>634</v>
      </c>
      <c r="E78" s="537" t="s">
        <v>125</v>
      </c>
      <c r="F78" s="534">
        <f>SUM(F79)</f>
        <v>20.271000000000001</v>
      </c>
      <c r="G78" s="848">
        <f>SUM(H80:H83)/F78</f>
        <v>0</v>
      </c>
      <c r="H78" s="848">
        <f>F78*G78</f>
        <v>0</v>
      </c>
      <c r="I78" s="533" t="s">
        <v>739</v>
      </c>
      <c r="J78" s="459"/>
      <c r="K78" s="452"/>
      <c r="L78" s="452"/>
      <c r="M78" s="452"/>
      <c r="N78" s="452"/>
      <c r="O78" s="452"/>
      <c r="P78" s="452"/>
      <c r="Q78" s="452"/>
      <c r="R78" s="452"/>
      <c r="S78" s="452"/>
      <c r="T78" s="452"/>
      <c r="U78" s="452"/>
      <c r="V78" s="373"/>
      <c r="W78" s="373"/>
      <c r="X78" s="373"/>
      <c r="Y78" s="373"/>
      <c r="Z78" s="373"/>
      <c r="AA78" s="373"/>
      <c r="AB78" s="373"/>
      <c r="AC78" s="373"/>
      <c r="AD78" s="373"/>
      <c r="AE78" s="373"/>
      <c r="AF78" s="373"/>
      <c r="AG78" s="373"/>
      <c r="AH78" s="373"/>
      <c r="AI78" s="373"/>
      <c r="AJ78" s="373"/>
      <c r="AK78" s="373"/>
      <c r="AL78" s="373"/>
      <c r="AM78" s="373"/>
      <c r="AN78" s="373"/>
      <c r="AO78" s="373"/>
      <c r="AP78" s="373"/>
      <c r="AQ78" s="373"/>
      <c r="AR78" s="373"/>
      <c r="AS78" s="373"/>
      <c r="AT78" s="373"/>
      <c r="AU78" s="373"/>
      <c r="AV78" s="373"/>
      <c r="AW78" s="373"/>
      <c r="AX78" s="373"/>
      <c r="AY78" s="509"/>
      <c r="AZ78" s="509"/>
      <c r="BA78" s="509"/>
      <c r="BB78" s="509"/>
      <c r="BC78" s="509"/>
      <c r="BD78" s="509"/>
      <c r="BE78" s="509"/>
      <c r="BF78" s="509"/>
      <c r="BG78" s="509"/>
      <c r="BH78" s="509"/>
      <c r="BI78" s="509"/>
    </row>
    <row r="79" spans="1:61" s="508" customFormat="1" ht="13.5" customHeight="1">
      <c r="A79" s="849"/>
      <c r="B79" s="850"/>
      <c r="C79" s="851"/>
      <c r="D79" s="36" t="s">
        <v>576</v>
      </c>
      <c r="E79" s="36"/>
      <c r="F79" s="924">
        <f>20.271</f>
        <v>20.271000000000001</v>
      </c>
      <c r="G79" s="925"/>
      <c r="H79" s="848"/>
      <c r="I79" s="926"/>
      <c r="J79" s="459"/>
      <c r="K79" s="452"/>
      <c r="L79" s="460"/>
      <c r="M79" s="452"/>
      <c r="N79" s="452"/>
      <c r="O79" s="452"/>
      <c r="P79" s="452"/>
      <c r="Q79" s="452"/>
      <c r="R79" s="452"/>
      <c r="S79" s="452"/>
      <c r="T79" s="452"/>
      <c r="U79" s="452"/>
      <c r="V79" s="373"/>
      <c r="W79" s="373"/>
      <c r="X79" s="373"/>
      <c r="Y79" s="373"/>
      <c r="Z79" s="373"/>
      <c r="AA79" s="373"/>
      <c r="AB79" s="373"/>
      <c r="AC79" s="373"/>
      <c r="AD79" s="373"/>
      <c r="AE79" s="373"/>
      <c r="AF79" s="373"/>
      <c r="AG79" s="373"/>
      <c r="AH79" s="373"/>
      <c r="AI79" s="373"/>
      <c r="AJ79" s="373"/>
      <c r="AK79" s="373"/>
      <c r="AL79" s="373"/>
      <c r="AM79" s="373"/>
      <c r="AN79" s="373"/>
      <c r="AO79" s="373"/>
      <c r="AP79" s="373"/>
      <c r="AQ79" s="373"/>
      <c r="AR79" s="373"/>
      <c r="AS79" s="373"/>
      <c r="AT79" s="373"/>
      <c r="AU79" s="373"/>
      <c r="AV79" s="373"/>
      <c r="AW79" s="373"/>
      <c r="AX79" s="373"/>
      <c r="AY79" s="509"/>
      <c r="AZ79" s="509"/>
      <c r="BA79" s="509"/>
      <c r="BB79" s="509"/>
      <c r="BC79" s="509"/>
      <c r="BD79" s="509"/>
      <c r="BE79" s="509"/>
      <c r="BF79" s="509"/>
      <c r="BG79" s="509"/>
      <c r="BH79" s="509"/>
      <c r="BI79" s="509"/>
    </row>
    <row r="80" spans="1:61" s="508" customFormat="1" ht="13.5" customHeight="1">
      <c r="A80" s="927" t="s">
        <v>598</v>
      </c>
      <c r="B80" s="850"/>
      <c r="C80" s="445">
        <v>997221611</v>
      </c>
      <c r="D80" s="36" t="s">
        <v>137</v>
      </c>
      <c r="E80" s="36" t="s">
        <v>125</v>
      </c>
      <c r="F80" s="928">
        <f>F79</f>
        <v>20.271000000000001</v>
      </c>
      <c r="G80" s="132"/>
      <c r="H80" s="853">
        <f>F80*G80</f>
        <v>0</v>
      </c>
      <c r="I80" s="449" t="s">
        <v>738</v>
      </c>
      <c r="J80" s="459"/>
      <c r="K80" s="929"/>
      <c r="L80" s="929"/>
      <c r="M80" s="929"/>
      <c r="N80" s="929"/>
      <c r="O80" s="929"/>
      <c r="P80" s="929"/>
      <c r="Q80" s="459"/>
      <c r="R80" s="452"/>
      <c r="S80" s="452"/>
      <c r="T80" s="452"/>
      <c r="U80" s="452"/>
      <c r="V80" s="373"/>
      <c r="W80" s="373"/>
      <c r="X80" s="373"/>
      <c r="Y80" s="373"/>
      <c r="Z80" s="373"/>
      <c r="AA80" s="373"/>
      <c r="AB80" s="373"/>
      <c r="AC80" s="373"/>
      <c r="AD80" s="373"/>
      <c r="AE80" s="373"/>
      <c r="AF80" s="373"/>
      <c r="AG80" s="373"/>
      <c r="AH80" s="373"/>
      <c r="AI80" s="373"/>
      <c r="AJ80" s="373"/>
      <c r="AK80" s="373"/>
      <c r="AL80" s="373"/>
      <c r="AM80" s="373"/>
      <c r="AN80" s="373"/>
      <c r="AO80" s="373"/>
      <c r="AP80" s="373"/>
      <c r="AQ80" s="373"/>
      <c r="AR80" s="373"/>
      <c r="AS80" s="373"/>
      <c r="AT80" s="373"/>
      <c r="AU80" s="373"/>
      <c r="AV80" s="373"/>
      <c r="AW80" s="373"/>
      <c r="AX80" s="373"/>
      <c r="AY80" s="509"/>
      <c r="AZ80" s="509"/>
      <c r="BA80" s="509"/>
      <c r="BB80" s="509"/>
      <c r="BC80" s="509"/>
      <c r="BD80" s="509"/>
      <c r="BE80" s="509"/>
      <c r="BF80" s="509"/>
      <c r="BG80" s="509"/>
      <c r="BH80" s="509"/>
      <c r="BI80" s="509"/>
    </row>
    <row r="81" spans="1:61" s="508" customFormat="1" ht="13.5" customHeight="1">
      <c r="A81" s="927" t="s">
        <v>599</v>
      </c>
      <c r="B81" s="850"/>
      <c r="C81" s="445">
        <v>997221551</v>
      </c>
      <c r="D81" s="36" t="s">
        <v>138</v>
      </c>
      <c r="E81" s="36" t="s">
        <v>125</v>
      </c>
      <c r="F81" s="928">
        <f>F78</f>
        <v>20.271000000000001</v>
      </c>
      <c r="G81" s="132"/>
      <c r="H81" s="930">
        <f>F81*G81</f>
        <v>0</v>
      </c>
      <c r="I81" s="449" t="s">
        <v>738</v>
      </c>
      <c r="J81" s="459"/>
      <c r="K81" s="929"/>
      <c r="L81" s="929"/>
      <c r="M81" s="929"/>
      <c r="N81" s="929"/>
      <c r="O81" s="929"/>
      <c r="P81" s="929"/>
      <c r="Q81" s="459"/>
      <c r="R81" s="452"/>
      <c r="S81" s="452"/>
      <c r="T81" s="452"/>
      <c r="U81" s="452"/>
      <c r="V81" s="374"/>
      <c r="W81" s="373"/>
      <c r="X81" s="373"/>
      <c r="Y81" s="373"/>
      <c r="Z81" s="373"/>
      <c r="AA81" s="373"/>
      <c r="AB81" s="373"/>
      <c r="AC81" s="373"/>
      <c r="AD81" s="373"/>
      <c r="AE81" s="373"/>
      <c r="AF81" s="373"/>
      <c r="AG81" s="373"/>
      <c r="AH81" s="373"/>
      <c r="AI81" s="373"/>
      <c r="AJ81" s="373"/>
      <c r="AK81" s="373"/>
      <c r="AL81" s="373"/>
      <c r="AM81" s="373"/>
      <c r="AN81" s="373"/>
      <c r="AO81" s="373"/>
      <c r="AP81" s="373"/>
      <c r="AQ81" s="373"/>
      <c r="AR81" s="373"/>
      <c r="AS81" s="373"/>
      <c r="AT81" s="373"/>
      <c r="AU81" s="373"/>
      <c r="AV81" s="373"/>
      <c r="AW81" s="373"/>
      <c r="AX81" s="373"/>
      <c r="AY81" s="509"/>
      <c r="AZ81" s="509"/>
      <c r="BA81" s="509"/>
      <c r="BB81" s="509"/>
      <c r="BC81" s="509"/>
      <c r="BD81" s="509"/>
      <c r="BE81" s="509"/>
      <c r="BF81" s="509"/>
      <c r="BG81" s="509"/>
      <c r="BH81" s="509"/>
      <c r="BI81" s="509"/>
    </row>
    <row r="82" spans="1:61" s="508" customFormat="1" ht="27" customHeight="1">
      <c r="A82" s="927" t="s">
        <v>600</v>
      </c>
      <c r="B82" s="850"/>
      <c r="C82" s="445">
        <v>997221559</v>
      </c>
      <c r="D82" s="36" t="s">
        <v>139</v>
      </c>
      <c r="E82" s="36" t="s">
        <v>125</v>
      </c>
      <c r="F82" s="928">
        <f>5*F79</f>
        <v>101.355</v>
      </c>
      <c r="G82" s="132"/>
      <c r="H82" s="930">
        <f>F82*G82</f>
        <v>0</v>
      </c>
      <c r="I82" s="449" t="s">
        <v>738</v>
      </c>
      <c r="J82" s="450"/>
      <c r="K82" s="929"/>
      <c r="L82" s="929"/>
      <c r="M82" s="929"/>
      <c r="N82" s="929"/>
      <c r="O82" s="929"/>
      <c r="P82" s="929"/>
      <c r="Q82" s="450"/>
      <c r="R82" s="452"/>
      <c r="S82" s="452"/>
      <c r="T82" s="452"/>
      <c r="U82" s="452"/>
      <c r="V82" s="374"/>
      <c r="W82" s="373"/>
      <c r="X82" s="373"/>
      <c r="Y82" s="373"/>
      <c r="Z82" s="373"/>
      <c r="AA82" s="373"/>
      <c r="AB82" s="373"/>
      <c r="AC82" s="373"/>
      <c r="AD82" s="373"/>
      <c r="AE82" s="373"/>
      <c r="AF82" s="373"/>
      <c r="AG82" s="373"/>
      <c r="AH82" s="373"/>
      <c r="AI82" s="373"/>
      <c r="AJ82" s="373"/>
      <c r="AK82" s="373"/>
      <c r="AL82" s="373"/>
      <c r="AM82" s="373"/>
      <c r="AN82" s="373"/>
      <c r="AO82" s="373"/>
      <c r="AP82" s="373"/>
      <c r="AQ82" s="373"/>
      <c r="AR82" s="373"/>
      <c r="AS82" s="373"/>
      <c r="AT82" s="373"/>
      <c r="AU82" s="373"/>
      <c r="AV82" s="373"/>
      <c r="AW82" s="373"/>
      <c r="AX82" s="373"/>
      <c r="AY82" s="509"/>
      <c r="AZ82" s="509"/>
      <c r="BA82" s="509"/>
      <c r="BB82" s="509"/>
      <c r="BC82" s="509"/>
      <c r="BD82" s="509"/>
      <c r="BE82" s="509"/>
      <c r="BF82" s="509"/>
      <c r="BG82" s="509"/>
      <c r="BH82" s="509"/>
      <c r="BI82" s="509"/>
    </row>
    <row r="83" spans="1:61" s="508" customFormat="1" ht="13.5" customHeight="1">
      <c r="A83" s="927" t="s">
        <v>601</v>
      </c>
      <c r="B83" s="850"/>
      <c r="C83" s="445">
        <v>997221655</v>
      </c>
      <c r="D83" s="36" t="s">
        <v>140</v>
      </c>
      <c r="E83" s="36" t="s">
        <v>125</v>
      </c>
      <c r="F83" s="928">
        <f>F79</f>
        <v>20.271000000000001</v>
      </c>
      <c r="G83" s="132"/>
      <c r="H83" s="853">
        <f>F83*G83</f>
        <v>0</v>
      </c>
      <c r="I83" s="449" t="s">
        <v>738</v>
      </c>
      <c r="J83" s="450"/>
      <c r="K83" s="929"/>
      <c r="L83" s="929"/>
      <c r="M83" s="929"/>
      <c r="N83" s="929"/>
      <c r="O83" s="929"/>
      <c r="P83" s="929"/>
      <c r="Q83" s="450"/>
      <c r="R83" s="452"/>
      <c r="S83" s="452"/>
      <c r="T83" s="452"/>
      <c r="U83" s="452"/>
      <c r="V83" s="505"/>
      <c r="W83" s="505"/>
      <c r="X83" s="505"/>
      <c r="Y83" s="505"/>
      <c r="Z83" s="505"/>
      <c r="AA83" s="505"/>
      <c r="AB83" s="505"/>
      <c r="AC83" s="505"/>
      <c r="AD83" s="505"/>
      <c r="AE83" s="505"/>
      <c r="AF83" s="505"/>
      <c r="AG83" s="505"/>
      <c r="AH83" s="505"/>
      <c r="AI83" s="505"/>
      <c r="AJ83" s="505"/>
      <c r="AK83" s="505"/>
      <c r="AL83" s="505"/>
      <c r="AM83" s="505"/>
      <c r="AN83" s="505"/>
      <c r="AO83" s="505"/>
      <c r="AP83" s="505"/>
      <c r="AQ83" s="505"/>
      <c r="AR83" s="505"/>
      <c r="AS83" s="505"/>
      <c r="AT83" s="505"/>
      <c r="AU83" s="505"/>
      <c r="AV83" s="505"/>
      <c r="AW83" s="505"/>
      <c r="AX83" s="505"/>
      <c r="AY83" s="509"/>
      <c r="AZ83" s="509"/>
      <c r="BA83" s="509"/>
      <c r="BB83" s="509"/>
      <c r="BC83" s="509"/>
      <c r="BD83" s="509"/>
      <c r="BE83" s="509"/>
      <c r="BF83" s="509"/>
      <c r="BG83" s="509"/>
      <c r="BH83" s="509"/>
      <c r="BI83" s="509"/>
    </row>
    <row r="84" spans="1:61" s="508" customFormat="1" ht="67.5" customHeight="1">
      <c r="A84" s="927"/>
      <c r="B84" s="850"/>
      <c r="C84" s="851"/>
      <c r="D84" s="388" t="s">
        <v>195</v>
      </c>
      <c r="E84" s="36"/>
      <c r="F84" s="928"/>
      <c r="G84" s="925"/>
      <c r="H84" s="848"/>
      <c r="I84" s="931"/>
      <c r="J84" s="540"/>
      <c r="K84" s="932"/>
      <c r="L84" s="460"/>
      <c r="M84" s="452"/>
      <c r="N84" s="452"/>
      <c r="O84" s="452"/>
      <c r="P84" s="452"/>
      <c r="Q84" s="452"/>
      <c r="R84" s="452"/>
      <c r="S84" s="452"/>
      <c r="T84" s="452"/>
      <c r="U84" s="452"/>
      <c r="V84" s="509"/>
      <c r="W84" s="509"/>
      <c r="X84" s="509"/>
      <c r="Y84" s="509"/>
      <c r="Z84" s="509"/>
      <c r="AA84" s="509"/>
      <c r="AB84" s="509"/>
      <c r="AC84" s="509"/>
      <c r="AD84" s="509"/>
      <c r="AE84" s="509"/>
      <c r="AF84" s="509"/>
      <c r="AG84" s="509"/>
      <c r="AH84" s="509"/>
      <c r="AI84" s="509"/>
      <c r="AJ84" s="509"/>
      <c r="AK84" s="509"/>
      <c r="AL84" s="509"/>
      <c r="AM84" s="509"/>
      <c r="AN84" s="509"/>
      <c r="AO84" s="509"/>
      <c r="AP84" s="509"/>
      <c r="AQ84" s="509"/>
      <c r="AR84" s="509"/>
      <c r="AS84" s="509"/>
      <c r="AT84" s="509"/>
      <c r="AU84" s="509"/>
      <c r="AV84" s="509"/>
      <c r="AW84" s="509"/>
      <c r="AX84" s="509"/>
      <c r="AY84" s="509"/>
      <c r="AZ84" s="509"/>
      <c r="BA84" s="509"/>
      <c r="BB84" s="509"/>
      <c r="BC84" s="509"/>
      <c r="BD84" s="509"/>
      <c r="BE84" s="509"/>
      <c r="BF84" s="509"/>
      <c r="BG84" s="509"/>
      <c r="BH84" s="509"/>
      <c r="BI84" s="509"/>
    </row>
    <row r="85" spans="1:61" s="508" customFormat="1" ht="27" customHeight="1">
      <c r="A85" s="530">
        <v>24</v>
      </c>
      <c r="B85" s="424" t="s">
        <v>133</v>
      </c>
      <c r="C85" s="427" t="s">
        <v>251</v>
      </c>
      <c r="D85" s="34" t="s">
        <v>635</v>
      </c>
      <c r="E85" s="537" t="s">
        <v>125</v>
      </c>
      <c r="F85" s="534">
        <f>SUM(F86)</f>
        <v>15.728</v>
      </c>
      <c r="G85" s="788">
        <f>SUM(H87:H90)/F85</f>
        <v>0</v>
      </c>
      <c r="H85" s="848">
        <f>F85*G85</f>
        <v>0</v>
      </c>
      <c r="I85" s="533" t="s">
        <v>739</v>
      </c>
      <c r="J85" s="509"/>
      <c r="K85" s="509"/>
      <c r="L85" s="509"/>
      <c r="M85" s="509"/>
      <c r="N85" s="509"/>
      <c r="O85" s="509"/>
      <c r="P85" s="509"/>
      <c r="Q85" s="509"/>
      <c r="R85" s="509"/>
      <c r="S85" s="509"/>
      <c r="T85" s="509"/>
      <c r="U85" s="509"/>
      <c r="V85" s="373"/>
      <c r="W85" s="373"/>
      <c r="X85" s="373"/>
      <c r="Y85" s="373"/>
      <c r="Z85" s="373"/>
      <c r="AA85" s="373"/>
      <c r="AB85" s="373"/>
      <c r="AC85" s="373"/>
      <c r="AD85" s="373"/>
      <c r="AE85" s="373"/>
      <c r="AF85" s="373"/>
      <c r="AG85" s="373"/>
      <c r="AH85" s="373"/>
      <c r="AI85" s="373"/>
      <c r="AJ85" s="373"/>
      <c r="AK85" s="373"/>
      <c r="AL85" s="373"/>
      <c r="AM85" s="373"/>
      <c r="AN85" s="373"/>
      <c r="AO85" s="373"/>
      <c r="AP85" s="373"/>
      <c r="AQ85" s="373"/>
      <c r="AR85" s="373"/>
      <c r="AS85" s="373"/>
      <c r="AT85" s="373"/>
      <c r="AU85" s="373"/>
      <c r="AV85" s="373"/>
      <c r="AW85" s="373"/>
      <c r="AX85" s="373"/>
      <c r="AY85" s="509"/>
      <c r="AZ85" s="509"/>
      <c r="BA85" s="509"/>
      <c r="BB85" s="509"/>
      <c r="BC85" s="509"/>
      <c r="BD85" s="509"/>
      <c r="BE85" s="509"/>
      <c r="BF85" s="509"/>
      <c r="BG85" s="509"/>
      <c r="BH85" s="509"/>
      <c r="BI85" s="509"/>
    </row>
    <row r="86" spans="1:61" s="508" customFormat="1" ht="13.5" customHeight="1">
      <c r="A86" s="849"/>
      <c r="B86" s="850"/>
      <c r="C86" s="851"/>
      <c r="D86" s="36" t="s">
        <v>577</v>
      </c>
      <c r="E86" s="36"/>
      <c r="F86" s="924">
        <f>15.728</f>
        <v>15.728</v>
      </c>
      <c r="G86" s="933"/>
      <c r="H86" s="934"/>
      <c r="I86" s="926"/>
      <c r="J86" s="459"/>
      <c r="K86" s="452"/>
      <c r="L86" s="460"/>
      <c r="M86" s="452"/>
      <c r="N86" s="452"/>
      <c r="O86" s="452"/>
      <c r="P86" s="452"/>
      <c r="Q86" s="452"/>
      <c r="R86" s="452"/>
      <c r="S86" s="452"/>
      <c r="T86" s="509"/>
      <c r="U86" s="509"/>
      <c r="V86" s="373"/>
      <c r="W86" s="373"/>
      <c r="X86" s="373"/>
      <c r="Y86" s="373"/>
      <c r="Z86" s="373"/>
      <c r="AA86" s="373"/>
      <c r="AB86" s="373"/>
      <c r="AC86" s="373"/>
      <c r="AD86" s="373"/>
      <c r="AE86" s="373"/>
      <c r="AF86" s="373"/>
      <c r="AG86" s="373"/>
      <c r="AH86" s="373"/>
      <c r="AI86" s="373"/>
      <c r="AJ86" s="373"/>
      <c r="AK86" s="373"/>
      <c r="AL86" s="373"/>
      <c r="AM86" s="373"/>
      <c r="AN86" s="373"/>
      <c r="AO86" s="373"/>
      <c r="AP86" s="373"/>
      <c r="AQ86" s="373"/>
      <c r="AR86" s="373"/>
      <c r="AS86" s="373"/>
      <c r="AT86" s="373"/>
      <c r="AU86" s="373"/>
      <c r="AV86" s="373"/>
      <c r="AW86" s="373"/>
      <c r="AX86" s="373"/>
      <c r="AY86" s="509"/>
      <c r="AZ86" s="509"/>
      <c r="BA86" s="509"/>
      <c r="BB86" s="509"/>
      <c r="BC86" s="509"/>
      <c r="BD86" s="509"/>
      <c r="BE86" s="509"/>
      <c r="BF86" s="509"/>
      <c r="BG86" s="509"/>
      <c r="BH86" s="509"/>
      <c r="BI86" s="509"/>
    </row>
    <row r="87" spans="1:61" s="508" customFormat="1" ht="13.5" customHeight="1">
      <c r="A87" s="927" t="s">
        <v>602</v>
      </c>
      <c r="B87" s="850"/>
      <c r="C87" s="445">
        <v>997221611</v>
      </c>
      <c r="D87" s="36" t="s">
        <v>137</v>
      </c>
      <c r="E87" s="36" t="s">
        <v>125</v>
      </c>
      <c r="F87" s="928">
        <f>F86</f>
        <v>15.728</v>
      </c>
      <c r="G87" s="132"/>
      <c r="H87" s="853">
        <f>F87*G87</f>
        <v>0</v>
      </c>
      <c r="I87" s="449" t="s">
        <v>738</v>
      </c>
      <c r="J87" s="459"/>
      <c r="K87" s="929"/>
      <c r="L87" s="929"/>
      <c r="M87" s="929"/>
      <c r="N87" s="929"/>
      <c r="O87" s="929"/>
      <c r="P87" s="929"/>
      <c r="Q87" s="509"/>
      <c r="R87" s="509"/>
      <c r="S87" s="452"/>
      <c r="T87" s="459"/>
      <c r="U87" s="509"/>
      <c r="V87" s="899"/>
      <c r="W87" s="899"/>
      <c r="X87" s="899"/>
      <c r="Y87" s="899"/>
      <c r="Z87" s="899"/>
      <c r="AA87" s="899"/>
      <c r="AB87" s="899"/>
      <c r="AC87" s="899"/>
      <c r="AD87" s="899"/>
      <c r="AE87" s="899"/>
      <c r="AF87" s="899"/>
      <c r="AG87" s="899"/>
      <c r="AH87" s="899"/>
      <c r="AI87" s="899"/>
      <c r="AJ87" s="899"/>
      <c r="AK87" s="899"/>
      <c r="AL87" s="899"/>
      <c r="AM87" s="899"/>
      <c r="AN87" s="899"/>
      <c r="AO87" s="899"/>
      <c r="AP87" s="899"/>
      <c r="AQ87" s="899"/>
      <c r="AR87" s="899"/>
      <c r="AS87" s="899"/>
      <c r="AT87" s="899"/>
      <c r="AU87" s="899"/>
      <c r="AV87" s="899"/>
      <c r="AW87" s="899"/>
      <c r="AX87" s="899"/>
      <c r="AY87" s="509"/>
      <c r="AZ87" s="509"/>
      <c r="BA87" s="509"/>
      <c r="BB87" s="509"/>
      <c r="BC87" s="509"/>
      <c r="BD87" s="509"/>
      <c r="BE87" s="509"/>
      <c r="BF87" s="509"/>
      <c r="BG87" s="509"/>
      <c r="BH87" s="509"/>
      <c r="BI87" s="509"/>
    </row>
    <row r="88" spans="1:61" s="508" customFormat="1" ht="13.5" customHeight="1">
      <c r="A88" s="927" t="s">
        <v>603</v>
      </c>
      <c r="B88" s="850"/>
      <c r="C88" s="445">
        <v>997221561</v>
      </c>
      <c r="D88" s="36" t="s">
        <v>142</v>
      </c>
      <c r="E88" s="36" t="s">
        <v>125</v>
      </c>
      <c r="F88" s="928">
        <f>F85</f>
        <v>15.728</v>
      </c>
      <c r="G88" s="132"/>
      <c r="H88" s="930">
        <f>F88*G88</f>
        <v>0</v>
      </c>
      <c r="I88" s="449" t="s">
        <v>738</v>
      </c>
      <c r="J88" s="459"/>
      <c r="K88" s="929"/>
      <c r="L88" s="929"/>
      <c r="M88" s="929"/>
      <c r="N88" s="929"/>
      <c r="O88" s="929"/>
      <c r="P88" s="929"/>
      <c r="Q88" s="509"/>
      <c r="R88" s="509"/>
      <c r="S88" s="452"/>
      <c r="T88" s="459"/>
      <c r="U88" s="509"/>
      <c r="V88" s="373"/>
      <c r="W88" s="373"/>
      <c r="X88" s="373"/>
      <c r="Y88" s="373"/>
      <c r="Z88" s="373"/>
      <c r="AA88" s="373"/>
      <c r="AB88" s="373"/>
      <c r="AC88" s="373"/>
      <c r="AD88" s="373"/>
      <c r="AE88" s="373"/>
      <c r="AF88" s="373"/>
      <c r="AG88" s="373"/>
      <c r="AH88" s="373"/>
      <c r="AI88" s="373"/>
      <c r="AJ88" s="373"/>
      <c r="AK88" s="373"/>
      <c r="AL88" s="373"/>
      <c r="AM88" s="373"/>
      <c r="AN88" s="373"/>
      <c r="AO88" s="373"/>
      <c r="AP88" s="373"/>
      <c r="AQ88" s="373"/>
      <c r="AR88" s="373"/>
      <c r="AS88" s="373"/>
      <c r="AT88" s="373"/>
      <c r="AU88" s="373"/>
      <c r="AV88" s="373"/>
      <c r="AW88" s="373"/>
      <c r="AX88" s="373"/>
      <c r="AY88" s="509"/>
      <c r="AZ88" s="509"/>
      <c r="BA88" s="509"/>
      <c r="BB88" s="509"/>
      <c r="BC88" s="509"/>
      <c r="BD88" s="509"/>
      <c r="BE88" s="509"/>
      <c r="BF88" s="509"/>
      <c r="BG88" s="509"/>
      <c r="BH88" s="509"/>
      <c r="BI88" s="509"/>
    </row>
    <row r="89" spans="1:61" s="508" customFormat="1" ht="27" customHeight="1">
      <c r="A89" s="927" t="s">
        <v>604</v>
      </c>
      <c r="B89" s="850"/>
      <c r="C89" s="445">
        <v>997221569</v>
      </c>
      <c r="D89" s="36" t="s">
        <v>143</v>
      </c>
      <c r="E89" s="36" t="s">
        <v>125</v>
      </c>
      <c r="F89" s="928">
        <f>5*F86</f>
        <v>78.64</v>
      </c>
      <c r="G89" s="132"/>
      <c r="H89" s="930">
        <f>F89*G89</f>
        <v>0</v>
      </c>
      <c r="I89" s="449" t="s">
        <v>738</v>
      </c>
      <c r="J89" s="450"/>
      <c r="K89" s="929"/>
      <c r="L89" s="929"/>
      <c r="M89" s="929"/>
      <c r="N89" s="929"/>
      <c r="O89" s="929"/>
      <c r="P89" s="929"/>
      <c r="Q89" s="509"/>
      <c r="R89" s="509"/>
      <c r="S89" s="452"/>
      <c r="T89" s="450"/>
      <c r="U89" s="509"/>
      <c r="V89" s="452"/>
      <c r="W89" s="452"/>
      <c r="X89" s="452"/>
      <c r="Y89" s="452"/>
      <c r="Z89" s="452"/>
      <c r="AA89" s="452"/>
      <c r="AB89" s="452"/>
      <c r="AC89" s="452"/>
      <c r="AD89" s="452"/>
      <c r="AE89" s="452"/>
      <c r="AF89" s="452"/>
      <c r="AG89" s="452"/>
      <c r="AH89" s="452"/>
      <c r="AI89" s="452"/>
      <c r="AJ89" s="452"/>
      <c r="AK89" s="452"/>
      <c r="AL89" s="452"/>
      <c r="AM89" s="452"/>
      <c r="AN89" s="452"/>
      <c r="AO89" s="452"/>
      <c r="AP89" s="452"/>
      <c r="AQ89" s="452"/>
      <c r="AR89" s="452"/>
      <c r="AS89" s="452"/>
      <c r="AT89" s="452"/>
      <c r="AU89" s="452"/>
      <c r="AV89" s="452"/>
      <c r="AW89" s="452"/>
      <c r="AX89" s="452"/>
      <c r="AY89" s="509"/>
      <c r="AZ89" s="509"/>
      <c r="BA89" s="509"/>
      <c r="BB89" s="509"/>
      <c r="BC89" s="509"/>
      <c r="BD89" s="509"/>
      <c r="BE89" s="509"/>
      <c r="BF89" s="509"/>
      <c r="BG89" s="509"/>
      <c r="BH89" s="509"/>
      <c r="BI89" s="509"/>
    </row>
    <row r="90" spans="1:61" s="508" customFormat="1" ht="27" customHeight="1">
      <c r="A90" s="927" t="s">
        <v>605</v>
      </c>
      <c r="B90" s="850"/>
      <c r="C90" s="445">
        <v>997221645</v>
      </c>
      <c r="D90" s="36" t="s">
        <v>183</v>
      </c>
      <c r="E90" s="36" t="s">
        <v>125</v>
      </c>
      <c r="F90" s="928">
        <f>F86</f>
        <v>15.728</v>
      </c>
      <c r="G90" s="132"/>
      <c r="H90" s="853">
        <f>F90*G90</f>
        <v>0</v>
      </c>
      <c r="I90" s="449" t="s">
        <v>738</v>
      </c>
      <c r="J90" s="450"/>
      <c r="K90" s="929"/>
      <c r="L90" s="929"/>
      <c r="M90" s="929"/>
      <c r="N90" s="929"/>
      <c r="O90" s="929"/>
      <c r="P90" s="929"/>
      <c r="Q90" s="509"/>
      <c r="R90" s="509"/>
      <c r="S90" s="452"/>
      <c r="T90" s="450"/>
      <c r="U90" s="509"/>
      <c r="V90" s="452"/>
      <c r="W90" s="452"/>
      <c r="X90" s="452"/>
      <c r="Y90" s="452"/>
      <c r="Z90" s="452"/>
      <c r="AA90" s="452"/>
      <c r="AB90" s="452"/>
      <c r="AC90" s="452"/>
      <c r="AD90" s="452"/>
      <c r="AE90" s="452"/>
      <c r="AF90" s="452"/>
      <c r="AG90" s="452"/>
      <c r="AH90" s="452"/>
      <c r="AI90" s="452"/>
      <c r="AJ90" s="452"/>
      <c r="AK90" s="452"/>
      <c r="AL90" s="452"/>
      <c r="AM90" s="452"/>
      <c r="AN90" s="452"/>
      <c r="AO90" s="452"/>
      <c r="AP90" s="452"/>
      <c r="AQ90" s="452"/>
      <c r="AR90" s="452"/>
      <c r="AS90" s="452"/>
      <c r="AT90" s="452"/>
      <c r="AU90" s="452"/>
      <c r="AV90" s="452"/>
      <c r="AW90" s="452"/>
      <c r="AX90" s="452"/>
      <c r="AY90" s="509"/>
      <c r="AZ90" s="509"/>
      <c r="BA90" s="509"/>
      <c r="BB90" s="509"/>
      <c r="BC90" s="509"/>
      <c r="BD90" s="509"/>
      <c r="BE90" s="509"/>
      <c r="BF90" s="509"/>
      <c r="BG90" s="509"/>
      <c r="BH90" s="509"/>
      <c r="BI90" s="509"/>
    </row>
    <row r="91" spans="1:61" s="508" customFormat="1" ht="67.5" customHeight="1">
      <c r="A91" s="927"/>
      <c r="B91" s="850"/>
      <c r="C91" s="851"/>
      <c r="D91" s="388" t="s">
        <v>195</v>
      </c>
      <c r="E91" s="36"/>
      <c r="F91" s="928"/>
      <c r="G91" s="925"/>
      <c r="H91" s="848"/>
      <c r="I91" s="697"/>
      <c r="J91" s="919"/>
      <c r="K91" s="920"/>
      <c r="L91" s="887"/>
      <c r="M91" s="921"/>
      <c r="N91" s="921"/>
      <c r="O91" s="921"/>
      <c r="P91" s="922"/>
      <c r="Q91" s="923"/>
      <c r="R91" s="923"/>
      <c r="S91" s="574"/>
      <c r="T91" s="452"/>
      <c r="U91" s="452"/>
      <c r="V91" s="452"/>
      <c r="W91" s="452"/>
      <c r="X91" s="452"/>
      <c r="Y91" s="452"/>
      <c r="Z91" s="452"/>
      <c r="AA91" s="452"/>
      <c r="AB91" s="452"/>
      <c r="AC91" s="452"/>
      <c r="AD91" s="452"/>
      <c r="AE91" s="452"/>
      <c r="AF91" s="452"/>
      <c r="AG91" s="452"/>
      <c r="AH91" s="452"/>
      <c r="AI91" s="452"/>
      <c r="AJ91" s="452"/>
      <c r="AK91" s="452"/>
      <c r="AL91" s="452"/>
      <c r="AM91" s="452"/>
      <c r="AN91" s="452"/>
      <c r="AO91" s="452"/>
      <c r="AP91" s="452"/>
      <c r="AQ91" s="452"/>
      <c r="AR91" s="452"/>
      <c r="AS91" s="452"/>
      <c r="AT91" s="452"/>
      <c r="AU91" s="452"/>
      <c r="AV91" s="452"/>
      <c r="AW91" s="452"/>
      <c r="AX91" s="452"/>
      <c r="AY91" s="509"/>
      <c r="AZ91" s="509"/>
      <c r="BA91" s="509"/>
      <c r="BB91" s="509"/>
      <c r="BC91" s="509"/>
      <c r="BD91" s="509"/>
      <c r="BE91" s="509"/>
      <c r="BF91" s="509"/>
      <c r="BG91" s="509"/>
      <c r="BH91" s="509"/>
      <c r="BI91" s="509"/>
    </row>
    <row r="92" spans="1:61" s="506" customFormat="1" ht="13.5" customHeight="1">
      <c r="A92" s="530"/>
      <c r="B92" s="530"/>
      <c r="C92" s="694" t="s">
        <v>145</v>
      </c>
      <c r="D92" s="694" t="s">
        <v>146</v>
      </c>
      <c r="E92" s="694"/>
      <c r="F92" s="695"/>
      <c r="G92" s="696"/>
      <c r="H92" s="935">
        <f>SUM(H93:H95)</f>
        <v>0</v>
      </c>
      <c r="I92" s="697"/>
      <c r="J92" s="919"/>
      <c r="K92" s="920"/>
      <c r="L92" s="887"/>
      <c r="M92" s="921"/>
      <c r="N92" s="921"/>
      <c r="O92" s="921"/>
      <c r="P92" s="922"/>
      <c r="Q92" s="923"/>
      <c r="R92" s="923"/>
      <c r="S92" s="574"/>
      <c r="T92" s="373"/>
      <c r="U92" s="373"/>
      <c r="V92" s="373"/>
      <c r="W92" s="373"/>
      <c r="X92" s="373"/>
      <c r="Y92" s="373"/>
      <c r="Z92" s="373"/>
      <c r="AA92" s="373"/>
      <c r="AB92" s="373"/>
      <c r="AC92" s="373"/>
      <c r="AD92" s="373"/>
      <c r="AE92" s="373"/>
      <c r="AF92" s="373"/>
      <c r="AG92" s="373"/>
      <c r="AH92" s="373"/>
      <c r="AI92" s="373"/>
      <c r="AJ92" s="373"/>
      <c r="AK92" s="373"/>
      <c r="AL92" s="373"/>
      <c r="AM92" s="373"/>
      <c r="AN92" s="373"/>
      <c r="AO92" s="373"/>
      <c r="AP92" s="373"/>
      <c r="AQ92" s="373"/>
      <c r="AR92" s="373"/>
      <c r="AS92" s="373"/>
      <c r="AT92" s="373"/>
      <c r="AU92" s="373"/>
      <c r="AV92" s="373"/>
      <c r="AW92" s="373"/>
      <c r="AX92" s="373"/>
      <c r="AY92" s="505"/>
      <c r="AZ92" s="505"/>
      <c r="BA92" s="505"/>
      <c r="BB92" s="505"/>
      <c r="BC92" s="505"/>
      <c r="BD92" s="505"/>
      <c r="BE92" s="505"/>
      <c r="BF92" s="505"/>
      <c r="BG92" s="505"/>
      <c r="BH92" s="505"/>
      <c r="BI92" s="505"/>
    </row>
    <row r="93" spans="1:61" s="508" customFormat="1" ht="27" customHeight="1">
      <c r="A93" s="530">
        <v>25</v>
      </c>
      <c r="B93" s="700" t="s">
        <v>119</v>
      </c>
      <c r="C93" s="34">
        <v>998225111</v>
      </c>
      <c r="D93" s="34" t="s">
        <v>184</v>
      </c>
      <c r="E93" s="537" t="s">
        <v>125</v>
      </c>
      <c r="F93" s="936">
        <v>98.768000000000001</v>
      </c>
      <c r="G93" s="79"/>
      <c r="H93" s="532">
        <f>F93*G93</f>
        <v>0</v>
      </c>
      <c r="I93" s="533" t="s">
        <v>741</v>
      </c>
      <c r="J93" s="937"/>
      <c r="K93" s="938"/>
      <c r="L93" s="662"/>
      <c r="M93" s="662"/>
      <c r="N93" s="662"/>
      <c r="O93" s="662"/>
      <c r="P93" s="662"/>
      <c r="Q93" s="662"/>
      <c r="R93" s="662"/>
      <c r="S93" s="662"/>
      <c r="T93" s="662"/>
      <c r="U93" s="662"/>
      <c r="V93" s="662"/>
      <c r="W93" s="662"/>
      <c r="X93" s="662"/>
      <c r="Y93" s="662"/>
      <c r="Z93" s="662"/>
      <c r="AA93" s="662"/>
      <c r="AB93" s="662"/>
      <c r="AC93" s="662"/>
      <c r="AD93" s="662"/>
      <c r="AE93" s="662"/>
      <c r="AF93" s="662"/>
      <c r="AG93" s="662"/>
      <c r="AH93" s="662"/>
      <c r="AI93" s="662"/>
      <c r="AJ93" s="662"/>
      <c r="AK93" s="662"/>
      <c r="AL93" s="662"/>
      <c r="AM93" s="662"/>
      <c r="AN93" s="662"/>
      <c r="AO93" s="662"/>
      <c r="AP93" s="662"/>
      <c r="AQ93" s="662"/>
      <c r="AR93" s="662"/>
      <c r="AS93" s="662"/>
      <c r="AT93" s="662"/>
      <c r="AU93" s="662"/>
      <c r="AV93" s="662"/>
      <c r="AW93" s="662"/>
      <c r="AX93" s="662"/>
      <c r="AY93" s="509"/>
      <c r="AZ93" s="509"/>
      <c r="BA93" s="509"/>
      <c r="BB93" s="509"/>
      <c r="BC93" s="509"/>
      <c r="BD93" s="509"/>
      <c r="BE93" s="509"/>
      <c r="BF93" s="509"/>
      <c r="BG93" s="509"/>
      <c r="BH93" s="509"/>
      <c r="BI93" s="509"/>
    </row>
    <row r="94" spans="1:61" s="506" customFormat="1" ht="13.5" customHeight="1">
      <c r="A94" s="530">
        <v>26</v>
      </c>
      <c r="B94" s="34" t="s">
        <v>148</v>
      </c>
      <c r="C94" s="34" t="s">
        <v>149</v>
      </c>
      <c r="D94" s="34" t="s">
        <v>150</v>
      </c>
      <c r="E94" s="34" t="s">
        <v>151</v>
      </c>
      <c r="F94" s="534">
        <f>F95</f>
        <v>10</v>
      </c>
      <c r="G94" s="79"/>
      <c r="H94" s="532">
        <f>F94*G94</f>
        <v>0</v>
      </c>
      <c r="I94" s="533" t="s">
        <v>741</v>
      </c>
      <c r="J94" s="937"/>
      <c r="K94" s="938"/>
      <c r="L94" s="662"/>
      <c r="M94" s="662"/>
      <c r="N94" s="662"/>
      <c r="O94" s="662"/>
      <c r="P94" s="662"/>
      <c r="Q94" s="662"/>
      <c r="R94" s="662"/>
      <c r="S94" s="662"/>
      <c r="T94" s="662"/>
      <c r="U94" s="662"/>
      <c r="V94" s="662"/>
      <c r="W94" s="662"/>
      <c r="X94" s="662"/>
      <c r="Y94" s="662"/>
      <c r="Z94" s="662"/>
      <c r="AA94" s="662"/>
      <c r="AB94" s="662"/>
      <c r="AC94" s="662"/>
      <c r="AD94" s="662"/>
      <c r="AE94" s="662"/>
      <c r="AF94" s="662"/>
      <c r="AG94" s="662"/>
      <c r="AH94" s="662"/>
      <c r="AI94" s="662"/>
      <c r="AJ94" s="662"/>
      <c r="AK94" s="662"/>
      <c r="AL94" s="662"/>
      <c r="AM94" s="662"/>
      <c r="AN94" s="662"/>
      <c r="AO94" s="662"/>
      <c r="AP94" s="662"/>
      <c r="AQ94" s="662"/>
      <c r="AR94" s="662"/>
      <c r="AS94" s="662"/>
      <c r="AT94" s="662"/>
      <c r="AU94" s="662"/>
      <c r="AV94" s="662"/>
      <c r="AW94" s="662"/>
      <c r="AX94" s="662"/>
      <c r="AY94" s="505"/>
      <c r="AZ94" s="505"/>
      <c r="BA94" s="505"/>
      <c r="BB94" s="505"/>
      <c r="BC94" s="505"/>
      <c r="BD94" s="505"/>
      <c r="BE94" s="505"/>
      <c r="BF94" s="505"/>
      <c r="BG94" s="505"/>
      <c r="BH94" s="505"/>
      <c r="BI94" s="505"/>
    </row>
    <row r="95" spans="1:61" s="506" customFormat="1" ht="27" customHeight="1">
      <c r="A95" s="530"/>
      <c r="B95" s="34"/>
      <c r="C95" s="674"/>
      <c r="D95" s="36" t="s">
        <v>165</v>
      </c>
      <c r="E95" s="674"/>
      <c r="F95" s="675">
        <v>10</v>
      </c>
      <c r="G95" s="676"/>
      <c r="H95" s="676"/>
      <c r="I95" s="677"/>
      <c r="J95" s="937"/>
      <c r="K95" s="938"/>
      <c r="L95" s="662"/>
      <c r="M95" s="662"/>
      <c r="N95" s="662"/>
      <c r="O95" s="662"/>
      <c r="P95" s="662"/>
      <c r="Q95" s="662"/>
      <c r="R95" s="662"/>
      <c r="S95" s="662"/>
      <c r="T95" s="662"/>
      <c r="U95" s="662"/>
      <c r="V95" s="662"/>
      <c r="W95" s="662"/>
      <c r="X95" s="662"/>
      <c r="Y95" s="662"/>
      <c r="Z95" s="662"/>
      <c r="AA95" s="662"/>
      <c r="AB95" s="662"/>
      <c r="AC95" s="662"/>
      <c r="AD95" s="662"/>
      <c r="AE95" s="662"/>
      <c r="AF95" s="662"/>
      <c r="AG95" s="662"/>
      <c r="AH95" s="662"/>
      <c r="AI95" s="662"/>
      <c r="AJ95" s="662"/>
      <c r="AK95" s="662"/>
      <c r="AL95" s="662"/>
      <c r="AM95" s="662"/>
      <c r="AN95" s="662"/>
      <c r="AO95" s="662"/>
      <c r="AP95" s="662"/>
      <c r="AQ95" s="662"/>
      <c r="AR95" s="662"/>
      <c r="AS95" s="662"/>
      <c r="AT95" s="662"/>
      <c r="AU95" s="662"/>
      <c r="AV95" s="662"/>
      <c r="AW95" s="662"/>
      <c r="AX95" s="662"/>
      <c r="AY95" s="505"/>
      <c r="AZ95" s="505"/>
      <c r="BA95" s="505"/>
      <c r="BB95" s="505"/>
      <c r="BC95" s="505"/>
      <c r="BD95" s="505"/>
      <c r="BE95" s="505"/>
      <c r="BF95" s="505"/>
      <c r="BG95" s="505"/>
      <c r="BH95" s="505"/>
      <c r="BI95" s="505"/>
    </row>
    <row r="96" spans="1:61" s="947" customFormat="1" ht="21" customHeight="1">
      <c r="A96" s="939"/>
      <c r="B96" s="939"/>
      <c r="C96" s="940" t="s">
        <v>85</v>
      </c>
      <c r="D96" s="940" t="s">
        <v>86</v>
      </c>
      <c r="E96" s="940"/>
      <c r="F96" s="941"/>
      <c r="G96" s="942"/>
      <c r="H96" s="942">
        <f>H97+H111</f>
        <v>0</v>
      </c>
      <c r="I96" s="943"/>
      <c r="J96" s="944"/>
      <c r="K96" s="945"/>
      <c r="L96" s="945"/>
      <c r="M96" s="945"/>
      <c r="N96" s="505"/>
      <c r="O96" s="505"/>
      <c r="P96" s="505"/>
      <c r="Q96" s="505"/>
      <c r="R96" s="505"/>
      <c r="S96" s="505"/>
      <c r="T96" s="505"/>
      <c r="U96" s="505"/>
      <c r="V96" s="505"/>
      <c r="W96" s="505"/>
      <c r="X96" s="505"/>
      <c r="Y96" s="505"/>
      <c r="Z96" s="662"/>
      <c r="AA96" s="662"/>
      <c r="AB96" s="662"/>
      <c r="AC96" s="662"/>
      <c r="AD96" s="662"/>
      <c r="AE96" s="662"/>
      <c r="AF96" s="662"/>
      <c r="AG96" s="662"/>
      <c r="AH96" s="662"/>
      <c r="AI96" s="662"/>
      <c r="AJ96" s="662"/>
      <c r="AK96" s="662"/>
      <c r="AL96" s="662"/>
      <c r="AM96" s="662"/>
      <c r="AN96" s="662"/>
      <c r="AO96" s="662"/>
      <c r="AP96" s="662"/>
      <c r="AQ96" s="662"/>
      <c r="AR96" s="662"/>
      <c r="AS96" s="662"/>
      <c r="AT96" s="662"/>
      <c r="AU96" s="662"/>
      <c r="AV96" s="662"/>
      <c r="AW96" s="662"/>
      <c r="AX96" s="662"/>
      <c r="AY96" s="946"/>
      <c r="AZ96" s="946"/>
      <c r="BA96" s="946"/>
      <c r="BB96" s="946"/>
      <c r="BC96" s="946"/>
      <c r="BD96" s="946"/>
      <c r="BE96" s="946"/>
      <c r="BF96" s="946"/>
      <c r="BG96" s="946"/>
      <c r="BH96" s="946"/>
      <c r="BI96" s="946"/>
    </row>
    <row r="97" spans="1:256" s="947" customFormat="1" ht="13.5" customHeight="1">
      <c r="A97" s="939"/>
      <c r="B97" s="939"/>
      <c r="C97" s="940" t="s">
        <v>87</v>
      </c>
      <c r="D97" s="940" t="s">
        <v>246</v>
      </c>
      <c r="E97" s="940"/>
      <c r="F97" s="941"/>
      <c r="G97" s="942"/>
      <c r="H97" s="942">
        <f>SUM(H98:H110)</f>
        <v>0</v>
      </c>
      <c r="I97" s="608"/>
      <c r="J97" s="313"/>
      <c r="K97" s="313"/>
      <c r="L97" s="313"/>
      <c r="M97" s="313"/>
      <c r="N97" s="313"/>
      <c r="O97" s="313"/>
      <c r="P97" s="313"/>
      <c r="Q97" s="313"/>
      <c r="R97" s="313"/>
      <c r="S97" s="313"/>
      <c r="T97" s="505"/>
      <c r="U97" s="505"/>
      <c r="V97" s="505"/>
      <c r="W97" s="505"/>
      <c r="X97" s="505"/>
      <c r="Y97" s="505"/>
      <c r="Z97" s="662"/>
      <c r="AA97" s="662"/>
      <c r="AB97" s="662"/>
      <c r="AC97" s="662"/>
      <c r="AD97" s="662"/>
      <c r="AE97" s="662"/>
      <c r="AF97" s="662"/>
      <c r="AG97" s="662"/>
      <c r="AH97" s="662"/>
      <c r="AI97" s="662"/>
      <c r="AJ97" s="662"/>
      <c r="AK97" s="662"/>
      <c r="AL97" s="662"/>
      <c r="AM97" s="662"/>
      <c r="AN97" s="662"/>
      <c r="AO97" s="662"/>
      <c r="AP97" s="662"/>
      <c r="AQ97" s="662"/>
      <c r="AR97" s="662"/>
      <c r="AS97" s="662"/>
      <c r="AT97" s="662"/>
      <c r="AU97" s="662"/>
      <c r="AV97" s="662"/>
      <c r="AW97" s="662"/>
      <c r="AX97" s="662"/>
      <c r="AY97" s="946"/>
      <c r="AZ97" s="946"/>
      <c r="BA97" s="946"/>
      <c r="BB97" s="946"/>
      <c r="BC97" s="946"/>
      <c r="BD97" s="946"/>
      <c r="BE97" s="946"/>
      <c r="BF97" s="946"/>
      <c r="BG97" s="946"/>
      <c r="BH97" s="946"/>
      <c r="BI97" s="946"/>
    </row>
    <row r="98" spans="1:256" s="506" customFormat="1" ht="13.5" customHeight="1">
      <c r="A98" s="530">
        <v>27</v>
      </c>
      <c r="B98" s="34">
        <v>921</v>
      </c>
      <c r="C98" s="34" t="s">
        <v>289</v>
      </c>
      <c r="D98" s="34" t="s">
        <v>254</v>
      </c>
      <c r="E98" s="34" t="s">
        <v>115</v>
      </c>
      <c r="F98" s="673">
        <f>F99</f>
        <v>36.9</v>
      </c>
      <c r="G98" s="79"/>
      <c r="H98" s="532">
        <f>F98*G98</f>
        <v>0</v>
      </c>
      <c r="I98" s="533" t="s">
        <v>739</v>
      </c>
      <c r="J98" s="948"/>
      <c r="K98" s="505"/>
      <c r="L98" s="505"/>
      <c r="M98" s="505"/>
      <c r="N98" s="505"/>
      <c r="O98" s="505"/>
      <c r="P98" s="949"/>
      <c r="Q98" s="505"/>
      <c r="R98" s="685"/>
      <c r="S98" s="505"/>
      <c r="T98" s="505"/>
      <c r="U98" s="948"/>
      <c r="V98" s="950"/>
      <c r="W98" s="951"/>
      <c r="X98" s="951"/>
      <c r="Y98" s="951"/>
      <c r="Z98" s="951"/>
      <c r="AA98" s="949"/>
      <c r="AB98" s="951"/>
      <c r="AC98" s="509"/>
      <c r="AD98" s="509"/>
      <c r="AE98" s="509"/>
      <c r="AF98" s="509"/>
      <c r="AG98" s="509"/>
      <c r="AH98" s="509"/>
      <c r="AI98" s="509"/>
      <c r="AJ98" s="509"/>
      <c r="AK98" s="509"/>
      <c r="AL98" s="509"/>
      <c r="AM98" s="509"/>
      <c r="AN98" s="509"/>
      <c r="AO98" s="509"/>
      <c r="AP98" s="509"/>
      <c r="AQ98" s="509"/>
      <c r="AR98" s="509"/>
      <c r="AS98" s="509"/>
      <c r="AT98" s="509"/>
      <c r="AU98" s="509"/>
      <c r="AV98" s="509"/>
      <c r="AW98" s="509"/>
      <c r="AX98" s="509"/>
      <c r="AY98" s="505"/>
      <c r="AZ98" s="505"/>
      <c r="BA98" s="505"/>
      <c r="BB98" s="505"/>
      <c r="BC98" s="505"/>
      <c r="BD98" s="505"/>
      <c r="BE98" s="505"/>
      <c r="BF98" s="505"/>
      <c r="BG98" s="505"/>
      <c r="BH98" s="505"/>
      <c r="BI98" s="505"/>
    </row>
    <row r="99" spans="1:256" s="506" customFormat="1" ht="13.5" customHeight="1">
      <c r="A99" s="530"/>
      <c r="B99" s="34"/>
      <c r="C99" s="674"/>
      <c r="D99" s="36" t="s">
        <v>816</v>
      </c>
      <c r="E99" s="674"/>
      <c r="F99" s="675">
        <f>(34.9+2)</f>
        <v>36.9</v>
      </c>
      <c r="G99" s="676"/>
      <c r="H99" s="676"/>
      <c r="I99" s="533"/>
      <c r="J99" s="952"/>
      <c r="K99" s="505"/>
      <c r="L99" s="685"/>
      <c r="M99" s="505"/>
      <c r="N99" s="505"/>
      <c r="O99" s="505"/>
      <c r="P99" s="505"/>
      <c r="Q99" s="505"/>
      <c r="R99" s="505"/>
      <c r="S99" s="505"/>
      <c r="T99" s="505"/>
      <c r="U99" s="505"/>
      <c r="V99" s="505"/>
      <c r="W99" s="505"/>
      <c r="X99" s="505"/>
      <c r="Y99" s="505"/>
      <c r="Z99" s="509"/>
      <c r="AA99" s="509"/>
      <c r="AB99" s="509"/>
      <c r="AC99" s="509"/>
      <c r="AD99" s="509"/>
      <c r="AE99" s="509"/>
      <c r="AF99" s="509"/>
      <c r="AG99" s="509"/>
      <c r="AH99" s="509"/>
      <c r="AI99" s="509"/>
      <c r="AJ99" s="509"/>
      <c r="AK99" s="509"/>
      <c r="AL99" s="509"/>
      <c r="AM99" s="509"/>
      <c r="AN99" s="509"/>
      <c r="AO99" s="509"/>
      <c r="AP99" s="509"/>
      <c r="AQ99" s="509"/>
      <c r="AR99" s="509"/>
      <c r="AS99" s="509"/>
      <c r="AT99" s="509"/>
      <c r="AU99" s="509"/>
      <c r="AV99" s="509"/>
      <c r="AW99" s="509"/>
      <c r="AX99" s="509"/>
      <c r="AY99" s="505"/>
      <c r="AZ99" s="505"/>
      <c r="BA99" s="505"/>
      <c r="BB99" s="505"/>
      <c r="BC99" s="505"/>
      <c r="BD99" s="505"/>
      <c r="BE99" s="505"/>
      <c r="BF99" s="505"/>
      <c r="BG99" s="505"/>
      <c r="BH99" s="505"/>
      <c r="BI99" s="505"/>
    </row>
    <row r="100" spans="1:256" s="506" customFormat="1" ht="67.5" customHeight="1">
      <c r="A100" s="679"/>
      <c r="B100" s="680"/>
      <c r="C100" s="863"/>
      <c r="D100" s="388" t="s">
        <v>195</v>
      </c>
      <c r="E100" s="46"/>
      <c r="F100" s="682"/>
      <c r="G100" s="683"/>
      <c r="H100" s="84"/>
      <c r="I100" s="533"/>
      <c r="J100" s="857"/>
      <c r="K100" s="857"/>
      <c r="L100" s="857"/>
      <c r="M100" s="857"/>
      <c r="N100" s="857"/>
      <c r="O100" s="857"/>
      <c r="P100" s="857"/>
      <c r="Q100" s="857"/>
      <c r="R100" s="513"/>
      <c r="S100" s="513"/>
      <c r="T100" s="513"/>
      <c r="U100" s="513"/>
      <c r="V100" s="513"/>
      <c r="W100" s="513"/>
      <c r="X100" s="513"/>
      <c r="Y100" s="513"/>
      <c r="Z100" s="509"/>
      <c r="AA100" s="509"/>
      <c r="AB100" s="509"/>
      <c r="AC100" s="509"/>
      <c r="AD100" s="509"/>
      <c r="AE100" s="509"/>
      <c r="AF100" s="509"/>
      <c r="AG100" s="509"/>
      <c r="AH100" s="509"/>
      <c r="AI100" s="509"/>
      <c r="AJ100" s="509"/>
      <c r="AK100" s="509"/>
      <c r="AL100" s="509"/>
      <c r="AM100" s="509"/>
      <c r="AN100" s="509"/>
      <c r="AO100" s="509"/>
      <c r="AP100" s="509"/>
      <c r="AQ100" s="509"/>
      <c r="AR100" s="509"/>
      <c r="AS100" s="509"/>
      <c r="AT100" s="509"/>
      <c r="AU100" s="509"/>
      <c r="AV100" s="509"/>
      <c r="AW100" s="509"/>
      <c r="AX100" s="509"/>
      <c r="AY100" s="513"/>
      <c r="AZ100" s="513"/>
      <c r="BA100" s="513"/>
      <c r="BB100" s="513"/>
      <c r="BC100" s="513"/>
      <c r="BD100" s="513"/>
      <c r="BE100" s="513"/>
      <c r="BF100" s="513"/>
      <c r="BG100" s="513"/>
      <c r="BH100" s="513"/>
      <c r="BI100" s="513"/>
      <c r="BJ100" s="77"/>
      <c r="BK100" s="77"/>
      <c r="BL100" s="77"/>
      <c r="BM100" s="77"/>
      <c r="BN100" s="77"/>
      <c r="BO100" s="77"/>
      <c r="BP100" s="77"/>
      <c r="BQ100" s="77"/>
      <c r="BR100" s="77"/>
      <c r="BS100" s="77"/>
      <c r="BT100" s="77"/>
      <c r="BU100" s="77"/>
      <c r="BV100" s="77"/>
      <c r="BW100" s="77"/>
      <c r="BX100" s="77"/>
      <c r="BY100" s="77"/>
      <c r="BZ100" s="77"/>
      <c r="CA100" s="77"/>
      <c r="CB100" s="77"/>
      <c r="CC100" s="77"/>
      <c r="CD100" s="77"/>
      <c r="CE100" s="77"/>
      <c r="CF100" s="77"/>
      <c r="CG100" s="77"/>
      <c r="CH100" s="77"/>
      <c r="CI100" s="77"/>
      <c r="CJ100" s="77"/>
      <c r="CK100" s="77"/>
      <c r="CL100" s="77"/>
      <c r="CM100" s="77"/>
      <c r="CN100" s="77"/>
      <c r="CO100" s="77"/>
      <c r="CP100" s="77"/>
      <c r="CQ100" s="77"/>
      <c r="CR100" s="77"/>
      <c r="CS100" s="77"/>
      <c r="CT100" s="77"/>
      <c r="CU100" s="77"/>
      <c r="CV100" s="77"/>
      <c r="CW100" s="77"/>
      <c r="CX100" s="77"/>
      <c r="CY100" s="77"/>
      <c r="CZ100" s="77"/>
      <c r="DA100" s="77"/>
      <c r="DB100" s="77"/>
      <c r="DC100" s="77"/>
      <c r="DD100" s="77"/>
      <c r="DE100" s="77"/>
      <c r="DF100" s="77"/>
      <c r="DG100" s="77"/>
      <c r="DH100" s="77"/>
      <c r="DI100" s="77"/>
      <c r="DJ100" s="77"/>
      <c r="DK100" s="77"/>
      <c r="DL100" s="77"/>
      <c r="DM100" s="77"/>
      <c r="DN100" s="77"/>
      <c r="DO100" s="77"/>
      <c r="DP100" s="77"/>
      <c r="DQ100" s="77"/>
      <c r="DR100" s="77"/>
      <c r="DS100" s="77"/>
      <c r="DT100" s="77"/>
      <c r="DU100" s="77"/>
      <c r="DV100" s="77"/>
      <c r="DW100" s="77"/>
      <c r="DX100" s="77"/>
      <c r="DY100" s="77"/>
      <c r="DZ100" s="77"/>
      <c r="EA100" s="77"/>
      <c r="EB100" s="77"/>
      <c r="EC100" s="77"/>
      <c r="ED100" s="77"/>
      <c r="EE100" s="77"/>
      <c r="EF100" s="77"/>
      <c r="EG100" s="77"/>
      <c r="EH100" s="77"/>
      <c r="EI100" s="77"/>
      <c r="EJ100" s="77"/>
      <c r="EK100" s="77"/>
      <c r="EL100" s="77"/>
      <c r="EM100" s="77"/>
      <c r="EN100" s="77"/>
      <c r="EO100" s="77"/>
      <c r="EP100" s="77"/>
      <c r="EQ100" s="77"/>
      <c r="ER100" s="77"/>
      <c r="ES100" s="77"/>
      <c r="ET100" s="77"/>
      <c r="EU100" s="77"/>
      <c r="EV100" s="77"/>
      <c r="EW100" s="77"/>
      <c r="EX100" s="77"/>
      <c r="EY100" s="77"/>
      <c r="EZ100" s="77"/>
      <c r="FA100" s="77"/>
      <c r="FB100" s="77"/>
      <c r="FC100" s="77"/>
      <c r="FD100" s="77"/>
      <c r="FE100" s="77"/>
      <c r="FF100" s="77"/>
      <c r="FG100" s="77"/>
      <c r="FH100" s="77"/>
      <c r="FI100" s="77"/>
      <c r="FJ100" s="77"/>
      <c r="FK100" s="77"/>
      <c r="FL100" s="77"/>
      <c r="FM100" s="77"/>
      <c r="FN100" s="77"/>
      <c r="FO100" s="77"/>
      <c r="FP100" s="77"/>
      <c r="FQ100" s="77"/>
      <c r="FR100" s="77"/>
      <c r="FS100" s="77"/>
      <c r="FT100" s="77"/>
      <c r="FU100" s="77"/>
      <c r="FV100" s="77"/>
      <c r="FW100" s="77"/>
      <c r="FX100" s="77"/>
      <c r="FY100" s="77"/>
      <c r="FZ100" s="77"/>
      <c r="GA100" s="77"/>
      <c r="GB100" s="77"/>
      <c r="GC100" s="77"/>
      <c r="GD100" s="77"/>
      <c r="GE100" s="77"/>
      <c r="GF100" s="77"/>
      <c r="GG100" s="77"/>
      <c r="GH100" s="77"/>
      <c r="GI100" s="77"/>
      <c r="GJ100" s="77"/>
      <c r="GK100" s="77"/>
      <c r="GL100" s="77"/>
      <c r="GM100" s="77"/>
      <c r="GN100" s="77"/>
      <c r="GO100" s="77"/>
      <c r="GP100" s="77"/>
      <c r="GQ100" s="77"/>
      <c r="GR100" s="77"/>
      <c r="GS100" s="77"/>
      <c r="GT100" s="77"/>
      <c r="GU100" s="77"/>
      <c r="GV100" s="77"/>
      <c r="GW100" s="77"/>
      <c r="GX100" s="77"/>
      <c r="GY100" s="77"/>
      <c r="GZ100" s="77"/>
      <c r="HA100" s="77"/>
      <c r="HB100" s="77"/>
      <c r="HC100" s="77"/>
      <c r="HD100" s="77"/>
      <c r="HE100" s="77"/>
      <c r="HF100" s="77"/>
      <c r="HG100" s="77"/>
      <c r="HH100" s="77"/>
      <c r="HI100" s="77"/>
      <c r="HJ100" s="77"/>
      <c r="HK100" s="77"/>
      <c r="HL100" s="77"/>
      <c r="HM100" s="77"/>
      <c r="HN100" s="77"/>
      <c r="HO100" s="77"/>
      <c r="HP100" s="77"/>
      <c r="HQ100" s="77"/>
      <c r="HR100" s="77"/>
      <c r="HS100" s="77"/>
      <c r="HT100" s="77"/>
      <c r="HU100" s="77"/>
      <c r="HV100" s="77"/>
      <c r="HW100" s="77"/>
      <c r="HX100" s="77"/>
      <c r="HY100" s="77"/>
      <c r="HZ100" s="77"/>
      <c r="IA100" s="77"/>
      <c r="IB100" s="77"/>
      <c r="IC100" s="77"/>
      <c r="ID100" s="77"/>
      <c r="IE100" s="77"/>
      <c r="IF100" s="77"/>
      <c r="IG100" s="77"/>
      <c r="IH100" s="77"/>
      <c r="II100" s="77"/>
      <c r="IJ100" s="77"/>
      <c r="IK100" s="77"/>
      <c r="IL100" s="77"/>
      <c r="IM100" s="77"/>
      <c r="IN100" s="77"/>
      <c r="IO100" s="77"/>
      <c r="IP100" s="77"/>
      <c r="IQ100" s="77"/>
      <c r="IR100" s="77"/>
      <c r="IS100" s="77"/>
      <c r="IT100" s="77"/>
      <c r="IU100" s="77"/>
      <c r="IV100" s="77"/>
    </row>
    <row r="101" spans="1:256" s="506" customFormat="1" ht="27" customHeight="1">
      <c r="A101" s="530">
        <v>28</v>
      </c>
      <c r="B101" s="34">
        <v>921</v>
      </c>
      <c r="C101" s="34" t="s">
        <v>247</v>
      </c>
      <c r="D101" s="34" t="s">
        <v>262</v>
      </c>
      <c r="E101" s="34" t="s">
        <v>115</v>
      </c>
      <c r="F101" s="673">
        <f>F102</f>
        <v>36.9</v>
      </c>
      <c r="G101" s="79"/>
      <c r="H101" s="532">
        <f>F101*G101</f>
        <v>0</v>
      </c>
      <c r="I101" s="533" t="s">
        <v>739</v>
      </c>
      <c r="J101" s="505"/>
      <c r="K101" s="661"/>
      <c r="L101" s="505"/>
      <c r="M101" s="505"/>
      <c r="N101" s="505"/>
      <c r="O101" s="505"/>
      <c r="P101" s="505"/>
      <c r="Q101" s="505"/>
      <c r="R101" s="505"/>
      <c r="S101" s="505"/>
      <c r="T101" s="505"/>
      <c r="U101" s="505"/>
      <c r="V101" s="685"/>
      <c r="W101" s="505"/>
      <c r="X101" s="505"/>
      <c r="Y101" s="661"/>
      <c r="Z101" s="661"/>
      <c r="AA101" s="661"/>
      <c r="AB101" s="661"/>
      <c r="AC101" s="661"/>
      <c r="AD101" s="661"/>
      <c r="AE101" s="661"/>
      <c r="AF101" s="661"/>
      <c r="AG101" s="505"/>
      <c r="AH101" s="505"/>
      <c r="AI101" s="505"/>
      <c r="AJ101" s="949"/>
      <c r="AK101" s="505"/>
      <c r="AL101" s="509"/>
      <c r="AM101" s="509"/>
      <c r="AN101" s="509"/>
      <c r="AO101" s="509"/>
      <c r="AP101" s="509"/>
      <c r="AQ101" s="509"/>
      <c r="AR101" s="509"/>
      <c r="AS101" s="509"/>
      <c r="AT101" s="509"/>
      <c r="AU101" s="509"/>
      <c r="AV101" s="509"/>
      <c r="AW101" s="509"/>
      <c r="AX101" s="509"/>
      <c r="AY101" s="505"/>
      <c r="AZ101" s="505"/>
      <c r="BA101" s="505"/>
      <c r="BB101" s="505"/>
      <c r="BC101" s="505"/>
      <c r="BD101" s="505"/>
      <c r="BE101" s="505"/>
      <c r="BF101" s="505"/>
      <c r="BG101" s="505"/>
      <c r="BH101" s="505"/>
      <c r="BI101" s="505"/>
    </row>
    <row r="102" spans="1:256" s="506" customFormat="1" ht="13.5" customHeight="1">
      <c r="A102" s="530"/>
      <c r="B102" s="34"/>
      <c r="C102" s="674"/>
      <c r="D102" s="36" t="s">
        <v>817</v>
      </c>
      <c r="E102" s="674"/>
      <c r="F102" s="675">
        <f>(34.9+2)</f>
        <v>36.9</v>
      </c>
      <c r="G102" s="676"/>
      <c r="H102" s="676"/>
      <c r="I102" s="533"/>
      <c r="J102" s="952"/>
      <c r="K102" s="505"/>
      <c r="L102" s="685"/>
      <c r="M102" s="505"/>
      <c r="N102" s="505"/>
      <c r="O102" s="505"/>
      <c r="P102" s="505"/>
      <c r="Q102" s="505"/>
      <c r="R102" s="505"/>
      <c r="S102" s="505"/>
      <c r="T102" s="505"/>
      <c r="U102" s="505"/>
      <c r="V102" s="505"/>
      <c r="W102" s="505"/>
      <c r="X102" s="505"/>
      <c r="Y102" s="505"/>
      <c r="Z102" s="509"/>
      <c r="AA102" s="509"/>
      <c r="AB102" s="509"/>
      <c r="AC102" s="509"/>
      <c r="AD102" s="509"/>
      <c r="AE102" s="509"/>
      <c r="AF102" s="509"/>
      <c r="AG102" s="509"/>
      <c r="AH102" s="509"/>
      <c r="AI102" s="509"/>
      <c r="AJ102" s="509"/>
      <c r="AK102" s="509"/>
      <c r="AL102" s="509"/>
      <c r="AM102" s="509"/>
      <c r="AN102" s="509"/>
      <c r="AO102" s="509"/>
      <c r="AP102" s="509"/>
      <c r="AQ102" s="509"/>
      <c r="AR102" s="509"/>
      <c r="AS102" s="509"/>
      <c r="AT102" s="509"/>
      <c r="AU102" s="509"/>
      <c r="AV102" s="509"/>
      <c r="AW102" s="509"/>
      <c r="AX102" s="509"/>
      <c r="AY102" s="505"/>
      <c r="AZ102" s="505"/>
      <c r="BA102" s="505"/>
      <c r="BB102" s="505"/>
      <c r="BC102" s="505"/>
      <c r="BD102" s="505"/>
      <c r="BE102" s="505"/>
      <c r="BF102" s="505"/>
      <c r="BG102" s="505"/>
      <c r="BH102" s="505"/>
      <c r="BI102" s="505"/>
    </row>
    <row r="103" spans="1:256" s="506" customFormat="1" ht="67.5" customHeight="1">
      <c r="A103" s="679"/>
      <c r="B103" s="680"/>
      <c r="C103" s="863"/>
      <c r="D103" s="388" t="s">
        <v>195</v>
      </c>
      <c r="E103" s="46"/>
      <c r="F103" s="682"/>
      <c r="G103" s="683"/>
      <c r="H103" s="84"/>
      <c r="I103" s="533"/>
      <c r="J103" s="857"/>
      <c r="K103" s="857"/>
      <c r="L103" s="857"/>
      <c r="M103" s="857"/>
      <c r="N103" s="857"/>
      <c r="O103" s="857"/>
      <c r="P103" s="857"/>
      <c r="Q103" s="857"/>
      <c r="R103" s="513"/>
      <c r="S103" s="513"/>
      <c r="T103" s="513"/>
      <c r="U103" s="513"/>
      <c r="V103" s="513"/>
      <c r="W103" s="513"/>
      <c r="X103" s="513"/>
      <c r="Y103" s="513"/>
      <c r="Z103" s="509"/>
      <c r="AA103" s="509"/>
      <c r="AB103" s="509"/>
      <c r="AC103" s="509"/>
      <c r="AD103" s="509"/>
      <c r="AE103" s="509"/>
      <c r="AF103" s="509"/>
      <c r="AG103" s="509"/>
      <c r="AH103" s="509"/>
      <c r="AI103" s="509"/>
      <c r="AJ103" s="509"/>
      <c r="AK103" s="509"/>
      <c r="AL103" s="509"/>
      <c r="AM103" s="509"/>
      <c r="AN103" s="509"/>
      <c r="AO103" s="509"/>
      <c r="AP103" s="509"/>
      <c r="AQ103" s="509"/>
      <c r="AR103" s="509"/>
      <c r="AS103" s="509"/>
      <c r="AT103" s="509"/>
      <c r="AU103" s="509"/>
      <c r="AV103" s="509"/>
      <c r="AW103" s="509"/>
      <c r="AX103" s="509"/>
      <c r="AY103" s="513"/>
      <c r="AZ103" s="513"/>
      <c r="BA103" s="513"/>
      <c r="BB103" s="513"/>
      <c r="BC103" s="513"/>
      <c r="BD103" s="513"/>
      <c r="BE103" s="513"/>
      <c r="BF103" s="513"/>
      <c r="BG103" s="513"/>
      <c r="BH103" s="513"/>
      <c r="BI103" s="513"/>
      <c r="BJ103" s="77"/>
      <c r="BK103" s="77"/>
      <c r="BL103" s="77"/>
      <c r="BM103" s="77"/>
      <c r="BN103" s="77"/>
      <c r="BO103" s="77"/>
      <c r="BP103" s="77"/>
      <c r="BQ103" s="77"/>
      <c r="BR103" s="77"/>
      <c r="BS103" s="77"/>
      <c r="BT103" s="77"/>
      <c r="BU103" s="77"/>
      <c r="BV103" s="77"/>
      <c r="BW103" s="77"/>
      <c r="BX103" s="77"/>
      <c r="BY103" s="77"/>
      <c r="BZ103" s="77"/>
      <c r="CA103" s="77"/>
      <c r="CB103" s="77"/>
      <c r="CC103" s="77"/>
      <c r="CD103" s="77"/>
      <c r="CE103" s="77"/>
      <c r="CF103" s="77"/>
      <c r="CG103" s="77"/>
      <c r="CH103" s="77"/>
      <c r="CI103" s="77"/>
      <c r="CJ103" s="77"/>
      <c r="CK103" s="77"/>
      <c r="CL103" s="77"/>
      <c r="CM103" s="77"/>
      <c r="CN103" s="77"/>
      <c r="CO103" s="77"/>
      <c r="CP103" s="77"/>
      <c r="CQ103" s="77"/>
      <c r="CR103" s="77"/>
      <c r="CS103" s="77"/>
      <c r="CT103" s="77"/>
      <c r="CU103" s="77"/>
      <c r="CV103" s="77"/>
      <c r="CW103" s="77"/>
      <c r="CX103" s="77"/>
      <c r="CY103" s="77"/>
      <c r="CZ103" s="77"/>
      <c r="DA103" s="77"/>
      <c r="DB103" s="77"/>
      <c r="DC103" s="77"/>
      <c r="DD103" s="77"/>
      <c r="DE103" s="77"/>
      <c r="DF103" s="77"/>
      <c r="DG103" s="77"/>
      <c r="DH103" s="77"/>
      <c r="DI103" s="77"/>
      <c r="DJ103" s="77"/>
      <c r="DK103" s="77"/>
      <c r="DL103" s="77"/>
      <c r="DM103" s="77"/>
      <c r="DN103" s="77"/>
      <c r="DO103" s="77"/>
      <c r="DP103" s="77"/>
      <c r="DQ103" s="77"/>
      <c r="DR103" s="77"/>
      <c r="DS103" s="77"/>
      <c r="DT103" s="77"/>
      <c r="DU103" s="77"/>
      <c r="DV103" s="77"/>
      <c r="DW103" s="77"/>
      <c r="DX103" s="77"/>
      <c r="DY103" s="77"/>
      <c r="DZ103" s="77"/>
      <c r="EA103" s="77"/>
      <c r="EB103" s="77"/>
      <c r="EC103" s="77"/>
      <c r="ED103" s="77"/>
      <c r="EE103" s="77"/>
      <c r="EF103" s="77"/>
      <c r="EG103" s="77"/>
      <c r="EH103" s="77"/>
      <c r="EI103" s="77"/>
      <c r="EJ103" s="77"/>
      <c r="EK103" s="77"/>
      <c r="EL103" s="77"/>
      <c r="EM103" s="77"/>
      <c r="EN103" s="77"/>
      <c r="EO103" s="77"/>
      <c r="EP103" s="77"/>
      <c r="EQ103" s="77"/>
      <c r="ER103" s="77"/>
      <c r="ES103" s="77"/>
      <c r="ET103" s="77"/>
      <c r="EU103" s="77"/>
      <c r="EV103" s="77"/>
      <c r="EW103" s="77"/>
      <c r="EX103" s="77"/>
      <c r="EY103" s="77"/>
      <c r="EZ103" s="77"/>
      <c r="FA103" s="77"/>
      <c r="FB103" s="77"/>
      <c r="FC103" s="77"/>
      <c r="FD103" s="77"/>
      <c r="FE103" s="77"/>
      <c r="FF103" s="77"/>
      <c r="FG103" s="77"/>
      <c r="FH103" s="77"/>
      <c r="FI103" s="77"/>
      <c r="FJ103" s="77"/>
      <c r="FK103" s="77"/>
      <c r="FL103" s="77"/>
      <c r="FM103" s="77"/>
      <c r="FN103" s="77"/>
      <c r="FO103" s="77"/>
      <c r="FP103" s="77"/>
      <c r="FQ103" s="77"/>
      <c r="FR103" s="77"/>
      <c r="FS103" s="77"/>
      <c r="FT103" s="77"/>
      <c r="FU103" s="77"/>
      <c r="FV103" s="77"/>
      <c r="FW103" s="77"/>
      <c r="FX103" s="77"/>
      <c r="FY103" s="77"/>
      <c r="FZ103" s="77"/>
      <c r="GA103" s="77"/>
      <c r="GB103" s="77"/>
      <c r="GC103" s="77"/>
      <c r="GD103" s="77"/>
      <c r="GE103" s="77"/>
      <c r="GF103" s="77"/>
      <c r="GG103" s="77"/>
      <c r="GH103" s="77"/>
      <c r="GI103" s="77"/>
      <c r="GJ103" s="77"/>
      <c r="GK103" s="77"/>
      <c r="GL103" s="77"/>
      <c r="GM103" s="77"/>
      <c r="GN103" s="77"/>
      <c r="GO103" s="77"/>
      <c r="GP103" s="77"/>
      <c r="GQ103" s="77"/>
      <c r="GR103" s="77"/>
      <c r="GS103" s="77"/>
      <c r="GT103" s="77"/>
      <c r="GU103" s="77"/>
      <c r="GV103" s="77"/>
      <c r="GW103" s="77"/>
      <c r="GX103" s="77"/>
      <c r="GY103" s="77"/>
      <c r="GZ103" s="77"/>
      <c r="HA103" s="77"/>
      <c r="HB103" s="77"/>
      <c r="HC103" s="77"/>
      <c r="HD103" s="77"/>
      <c r="HE103" s="77"/>
      <c r="HF103" s="77"/>
      <c r="HG103" s="77"/>
      <c r="HH103" s="77"/>
      <c r="HI103" s="77"/>
      <c r="HJ103" s="77"/>
      <c r="HK103" s="77"/>
      <c r="HL103" s="77"/>
      <c r="HM103" s="77"/>
      <c r="HN103" s="77"/>
      <c r="HO103" s="77"/>
      <c r="HP103" s="77"/>
      <c r="HQ103" s="77"/>
      <c r="HR103" s="77"/>
      <c r="HS103" s="77"/>
      <c r="HT103" s="77"/>
      <c r="HU103" s="77"/>
      <c r="HV103" s="77"/>
      <c r="HW103" s="77"/>
      <c r="HX103" s="77"/>
      <c r="HY103" s="77"/>
      <c r="HZ103" s="77"/>
      <c r="IA103" s="77"/>
      <c r="IB103" s="77"/>
      <c r="IC103" s="77"/>
      <c r="ID103" s="77"/>
      <c r="IE103" s="77"/>
      <c r="IF103" s="77"/>
      <c r="IG103" s="77"/>
      <c r="IH103" s="77"/>
      <c r="II103" s="77"/>
      <c r="IJ103" s="77"/>
      <c r="IK103" s="77"/>
      <c r="IL103" s="77"/>
      <c r="IM103" s="77"/>
      <c r="IN103" s="77"/>
      <c r="IO103" s="77"/>
      <c r="IP103" s="77"/>
      <c r="IQ103" s="77"/>
      <c r="IR103" s="77"/>
      <c r="IS103" s="77"/>
      <c r="IT103" s="77"/>
      <c r="IU103" s="77"/>
      <c r="IV103" s="77"/>
    </row>
    <row r="104" spans="1:256" s="506" customFormat="1" ht="27" customHeight="1">
      <c r="A104" s="530">
        <v>29</v>
      </c>
      <c r="B104" s="34">
        <v>921</v>
      </c>
      <c r="C104" s="34" t="s">
        <v>828</v>
      </c>
      <c r="D104" s="34" t="s">
        <v>585</v>
      </c>
      <c r="E104" s="34" t="s">
        <v>102</v>
      </c>
      <c r="F104" s="673">
        <f>F105</f>
        <v>1</v>
      </c>
      <c r="G104" s="79"/>
      <c r="H104" s="532">
        <f>F104*G104</f>
        <v>0</v>
      </c>
      <c r="I104" s="533" t="s">
        <v>739</v>
      </c>
      <c r="J104" s="661"/>
      <c r="K104" s="661"/>
      <c r="L104" s="661"/>
      <c r="M104" s="661"/>
      <c r="N104" s="661"/>
      <c r="O104" s="661"/>
      <c r="P104" s="661"/>
      <c r="Q104" s="661"/>
      <c r="R104" s="505"/>
      <c r="S104" s="505"/>
      <c r="T104" s="949"/>
      <c r="U104" s="505"/>
      <c r="V104" s="505"/>
      <c r="W104" s="505"/>
      <c r="X104" s="505"/>
      <c r="Y104" s="505"/>
      <c r="Z104" s="509"/>
      <c r="AA104" s="509"/>
      <c r="AB104" s="509"/>
      <c r="AC104" s="509"/>
      <c r="AD104" s="509"/>
      <c r="AE104" s="509"/>
      <c r="AF104" s="509"/>
      <c r="AG104" s="509"/>
      <c r="AH104" s="509"/>
      <c r="AI104" s="509"/>
      <c r="AJ104" s="509"/>
      <c r="AK104" s="509"/>
      <c r="AL104" s="509"/>
      <c r="AM104" s="509"/>
      <c r="AN104" s="509"/>
      <c r="AO104" s="509"/>
      <c r="AP104" s="509"/>
      <c r="AQ104" s="509"/>
      <c r="AR104" s="509"/>
      <c r="AS104" s="509"/>
      <c r="AT104" s="509"/>
      <c r="AU104" s="509"/>
      <c r="AV104" s="509"/>
      <c r="AW104" s="509"/>
      <c r="AX104" s="509"/>
      <c r="AY104" s="505"/>
      <c r="AZ104" s="505"/>
      <c r="BA104" s="505"/>
      <c r="BB104" s="505"/>
      <c r="BC104" s="505"/>
      <c r="BD104" s="505"/>
      <c r="BE104" s="505"/>
      <c r="BF104" s="505"/>
      <c r="BG104" s="505"/>
      <c r="BH104" s="505"/>
      <c r="BI104" s="505"/>
    </row>
    <row r="105" spans="1:256" s="506" customFormat="1" ht="27" customHeight="1">
      <c r="A105" s="530"/>
      <c r="B105" s="34"/>
      <c r="C105" s="674"/>
      <c r="D105" s="36" t="s">
        <v>586</v>
      </c>
      <c r="E105" s="674"/>
      <c r="F105" s="675">
        <v>1</v>
      </c>
      <c r="G105" s="676"/>
      <c r="H105" s="676"/>
      <c r="I105" s="533"/>
      <c r="J105" s="952"/>
      <c r="K105" s="505"/>
      <c r="L105" s="505"/>
      <c r="M105" s="505"/>
      <c r="N105" s="505"/>
      <c r="O105" s="505"/>
      <c r="P105" s="505"/>
      <c r="Q105" s="505"/>
      <c r="R105" s="505"/>
      <c r="S105" s="505"/>
      <c r="T105" s="949"/>
      <c r="U105" s="505"/>
      <c r="V105" s="505"/>
      <c r="W105" s="505"/>
      <c r="X105" s="505"/>
      <c r="Y105" s="505"/>
      <c r="Z105" s="452"/>
      <c r="AA105" s="452"/>
      <c r="AB105" s="452"/>
      <c r="AC105" s="452"/>
      <c r="AD105" s="452"/>
      <c r="AE105" s="452"/>
      <c r="AF105" s="452"/>
      <c r="AG105" s="452"/>
      <c r="AH105" s="452"/>
      <c r="AI105" s="452"/>
      <c r="AJ105" s="452"/>
      <c r="AK105" s="452"/>
      <c r="AL105" s="509"/>
      <c r="AM105" s="509"/>
      <c r="AN105" s="509"/>
      <c r="AO105" s="509"/>
      <c r="AP105" s="509"/>
      <c r="AQ105" s="509"/>
      <c r="AR105" s="509"/>
      <c r="AS105" s="509"/>
      <c r="AT105" s="509"/>
      <c r="AU105" s="509"/>
      <c r="AV105" s="509"/>
      <c r="AW105" s="509"/>
      <c r="AX105" s="509"/>
      <c r="AY105" s="505"/>
      <c r="AZ105" s="505"/>
      <c r="BA105" s="505"/>
      <c r="BB105" s="505"/>
      <c r="BC105" s="505"/>
      <c r="BD105" s="505"/>
      <c r="BE105" s="505"/>
      <c r="BF105" s="505"/>
      <c r="BG105" s="505"/>
      <c r="BH105" s="505"/>
      <c r="BI105" s="505"/>
    </row>
    <row r="106" spans="1:256" s="506" customFormat="1" ht="13.5" customHeight="1">
      <c r="A106" s="530"/>
      <c r="B106" s="34"/>
      <c r="C106" s="674"/>
      <c r="D106" s="36" t="s">
        <v>587</v>
      </c>
      <c r="E106" s="674"/>
      <c r="F106" s="675"/>
      <c r="G106" s="676"/>
      <c r="H106" s="676"/>
      <c r="I106" s="533"/>
      <c r="J106" s="952"/>
      <c r="K106" s="505"/>
      <c r="L106" s="505"/>
      <c r="M106" s="505"/>
      <c r="N106" s="505"/>
      <c r="O106" s="505"/>
      <c r="P106" s="505"/>
      <c r="Q106" s="505"/>
      <c r="R106" s="505"/>
      <c r="S106" s="505"/>
      <c r="T106" s="949"/>
      <c r="U106" s="505"/>
      <c r="V106" s="505"/>
      <c r="W106" s="505"/>
      <c r="X106" s="505"/>
      <c r="Y106" s="505"/>
      <c r="Z106" s="452"/>
      <c r="AA106" s="452"/>
      <c r="AB106" s="452"/>
      <c r="AC106" s="452"/>
      <c r="AD106" s="452"/>
      <c r="AE106" s="452"/>
      <c r="AF106" s="452"/>
      <c r="AG106" s="452"/>
      <c r="AH106" s="452"/>
      <c r="AI106" s="452"/>
      <c r="AJ106" s="452"/>
      <c r="AK106" s="452"/>
      <c r="AL106" s="509"/>
      <c r="AM106" s="509"/>
      <c r="AN106" s="509"/>
      <c r="AO106" s="509"/>
      <c r="AP106" s="509"/>
      <c r="AQ106" s="509"/>
      <c r="AR106" s="509"/>
      <c r="AS106" s="509"/>
      <c r="AT106" s="509"/>
      <c r="AU106" s="509"/>
      <c r="AV106" s="509"/>
      <c r="AW106" s="509"/>
      <c r="AX106" s="509"/>
      <c r="AY106" s="505"/>
      <c r="AZ106" s="505"/>
      <c r="BA106" s="505"/>
      <c r="BB106" s="505"/>
      <c r="BC106" s="505"/>
      <c r="BD106" s="505"/>
      <c r="BE106" s="505"/>
      <c r="BF106" s="505"/>
      <c r="BG106" s="505"/>
      <c r="BH106" s="505"/>
      <c r="BI106" s="505"/>
    </row>
    <row r="107" spans="1:256" s="506" customFormat="1" ht="67.5" customHeight="1">
      <c r="A107" s="679"/>
      <c r="B107" s="680"/>
      <c r="C107" s="863"/>
      <c r="D107" s="388" t="s">
        <v>195</v>
      </c>
      <c r="E107" s="46"/>
      <c r="F107" s="682"/>
      <c r="G107" s="683"/>
      <c r="H107" s="953"/>
      <c r="I107" s="954"/>
      <c r="J107" s="857"/>
      <c r="K107" s="857"/>
      <c r="L107" s="857"/>
      <c r="M107" s="685"/>
      <c r="N107" s="857"/>
      <c r="O107" s="857"/>
      <c r="P107" s="857"/>
      <c r="Q107" s="857"/>
      <c r="R107" s="513"/>
      <c r="S107" s="513"/>
      <c r="T107" s="513"/>
      <c r="U107" s="513"/>
      <c r="V107" s="513"/>
      <c r="W107" s="513"/>
      <c r="X107" s="513"/>
      <c r="Y107" s="513"/>
      <c r="Z107" s="452"/>
      <c r="AA107" s="452"/>
      <c r="AB107" s="452"/>
      <c r="AC107" s="452"/>
      <c r="AD107" s="452"/>
      <c r="AE107" s="452"/>
      <c r="AF107" s="452"/>
      <c r="AG107" s="452"/>
      <c r="AH107" s="452"/>
      <c r="AI107" s="452"/>
      <c r="AJ107" s="452"/>
      <c r="AK107" s="452"/>
      <c r="AL107" s="509"/>
      <c r="AM107" s="509"/>
      <c r="AN107" s="509"/>
      <c r="AO107" s="509"/>
      <c r="AP107" s="509"/>
      <c r="AQ107" s="509"/>
      <c r="AR107" s="509"/>
      <c r="AS107" s="509"/>
      <c r="AT107" s="509"/>
      <c r="AU107" s="509"/>
      <c r="AV107" s="509"/>
      <c r="AW107" s="509"/>
      <c r="AX107" s="509"/>
      <c r="AY107" s="513"/>
      <c r="AZ107" s="513"/>
      <c r="BA107" s="513"/>
      <c r="BB107" s="513"/>
      <c r="BC107" s="513"/>
      <c r="BD107" s="513"/>
      <c r="BE107" s="513"/>
      <c r="BF107" s="513"/>
      <c r="BG107" s="513"/>
      <c r="BH107" s="513"/>
      <c r="BI107" s="513"/>
      <c r="BJ107" s="77"/>
      <c r="BK107" s="77"/>
      <c r="BL107" s="77"/>
      <c r="BM107" s="77"/>
      <c r="BN107" s="77"/>
      <c r="BO107" s="77"/>
      <c r="BP107" s="77"/>
      <c r="BQ107" s="77"/>
      <c r="BR107" s="77"/>
      <c r="BS107" s="77"/>
      <c r="BT107" s="77"/>
      <c r="BU107" s="77"/>
      <c r="BV107" s="77"/>
      <c r="BW107" s="77"/>
      <c r="BX107" s="77"/>
      <c r="BY107" s="77"/>
      <c r="BZ107" s="77"/>
      <c r="CA107" s="77"/>
      <c r="CB107" s="77"/>
      <c r="CC107" s="77"/>
      <c r="CD107" s="77"/>
      <c r="CE107" s="77"/>
      <c r="CF107" s="77"/>
      <c r="CG107" s="77"/>
      <c r="CH107" s="77"/>
      <c r="CI107" s="77"/>
      <c r="CJ107" s="77"/>
      <c r="CK107" s="77"/>
      <c r="CL107" s="77"/>
      <c r="CM107" s="77"/>
      <c r="CN107" s="77"/>
      <c r="CO107" s="77"/>
      <c r="CP107" s="77"/>
      <c r="CQ107" s="77"/>
      <c r="CR107" s="77"/>
      <c r="CS107" s="77"/>
      <c r="CT107" s="77"/>
      <c r="CU107" s="77"/>
      <c r="CV107" s="77"/>
      <c r="CW107" s="77"/>
      <c r="CX107" s="77"/>
      <c r="CY107" s="77"/>
      <c r="CZ107" s="77"/>
      <c r="DA107" s="77"/>
      <c r="DB107" s="77"/>
      <c r="DC107" s="77"/>
      <c r="DD107" s="77"/>
      <c r="DE107" s="77"/>
      <c r="DF107" s="77"/>
      <c r="DG107" s="77"/>
      <c r="DH107" s="77"/>
      <c r="DI107" s="77"/>
      <c r="DJ107" s="77"/>
      <c r="DK107" s="77"/>
      <c r="DL107" s="77"/>
      <c r="DM107" s="77"/>
      <c r="DN107" s="77"/>
      <c r="DO107" s="77"/>
      <c r="DP107" s="77"/>
      <c r="DQ107" s="77"/>
      <c r="DR107" s="77"/>
      <c r="DS107" s="77"/>
      <c r="DT107" s="77"/>
      <c r="DU107" s="77"/>
      <c r="DV107" s="77"/>
      <c r="DW107" s="77"/>
      <c r="DX107" s="77"/>
      <c r="DY107" s="77"/>
      <c r="DZ107" s="77"/>
      <c r="EA107" s="77"/>
      <c r="EB107" s="77"/>
      <c r="EC107" s="77"/>
      <c r="ED107" s="77"/>
      <c r="EE107" s="77"/>
      <c r="EF107" s="77"/>
      <c r="EG107" s="77"/>
      <c r="EH107" s="77"/>
      <c r="EI107" s="77"/>
      <c r="EJ107" s="77"/>
      <c r="EK107" s="77"/>
      <c r="EL107" s="77"/>
      <c r="EM107" s="77"/>
      <c r="EN107" s="77"/>
      <c r="EO107" s="77"/>
      <c r="EP107" s="77"/>
      <c r="EQ107" s="77"/>
      <c r="ER107" s="77"/>
      <c r="ES107" s="77"/>
      <c r="ET107" s="77"/>
      <c r="EU107" s="77"/>
      <c r="EV107" s="77"/>
      <c r="EW107" s="77"/>
      <c r="EX107" s="77"/>
      <c r="EY107" s="77"/>
      <c r="EZ107" s="77"/>
      <c r="FA107" s="77"/>
      <c r="FB107" s="77"/>
      <c r="FC107" s="77"/>
      <c r="FD107" s="77"/>
      <c r="FE107" s="77"/>
      <c r="FF107" s="77"/>
      <c r="FG107" s="77"/>
      <c r="FH107" s="77"/>
      <c r="FI107" s="77"/>
      <c r="FJ107" s="77"/>
      <c r="FK107" s="77"/>
      <c r="FL107" s="77"/>
      <c r="FM107" s="77"/>
      <c r="FN107" s="77"/>
      <c r="FO107" s="77"/>
      <c r="FP107" s="77"/>
      <c r="FQ107" s="77"/>
      <c r="FR107" s="77"/>
      <c r="FS107" s="77"/>
      <c r="FT107" s="77"/>
      <c r="FU107" s="77"/>
      <c r="FV107" s="77"/>
      <c r="FW107" s="77"/>
      <c r="FX107" s="77"/>
      <c r="FY107" s="77"/>
      <c r="FZ107" s="77"/>
      <c r="GA107" s="77"/>
      <c r="GB107" s="77"/>
      <c r="GC107" s="77"/>
      <c r="GD107" s="77"/>
      <c r="GE107" s="77"/>
      <c r="GF107" s="77"/>
      <c r="GG107" s="77"/>
      <c r="GH107" s="77"/>
      <c r="GI107" s="77"/>
      <c r="GJ107" s="77"/>
      <c r="GK107" s="77"/>
      <c r="GL107" s="77"/>
      <c r="GM107" s="77"/>
      <c r="GN107" s="77"/>
      <c r="GO107" s="77"/>
      <c r="GP107" s="77"/>
      <c r="GQ107" s="77"/>
      <c r="GR107" s="77"/>
      <c r="GS107" s="77"/>
      <c r="GT107" s="77"/>
      <c r="GU107" s="77"/>
      <c r="GV107" s="77"/>
      <c r="GW107" s="77"/>
      <c r="GX107" s="77"/>
      <c r="GY107" s="77"/>
      <c r="GZ107" s="77"/>
      <c r="HA107" s="77"/>
      <c r="HB107" s="77"/>
      <c r="HC107" s="77"/>
      <c r="HD107" s="77"/>
      <c r="HE107" s="77"/>
      <c r="HF107" s="77"/>
      <c r="HG107" s="77"/>
      <c r="HH107" s="77"/>
      <c r="HI107" s="77"/>
      <c r="HJ107" s="77"/>
      <c r="HK107" s="77"/>
      <c r="HL107" s="77"/>
      <c r="HM107" s="77"/>
      <c r="HN107" s="77"/>
      <c r="HO107" s="77"/>
      <c r="HP107" s="77"/>
      <c r="HQ107" s="77"/>
      <c r="HR107" s="77"/>
      <c r="HS107" s="77"/>
      <c r="HT107" s="77"/>
      <c r="HU107" s="77"/>
      <c r="HV107" s="77"/>
      <c r="HW107" s="77"/>
      <c r="HX107" s="77"/>
      <c r="HY107" s="77"/>
      <c r="HZ107" s="77"/>
      <c r="IA107" s="77"/>
      <c r="IB107" s="77"/>
      <c r="IC107" s="77"/>
      <c r="ID107" s="77"/>
      <c r="IE107" s="77"/>
      <c r="IF107" s="77"/>
      <c r="IG107" s="77"/>
      <c r="IH107" s="77"/>
      <c r="II107" s="77"/>
      <c r="IJ107" s="77"/>
      <c r="IK107" s="77"/>
      <c r="IL107" s="77"/>
      <c r="IM107" s="77"/>
      <c r="IN107" s="77"/>
      <c r="IO107" s="77"/>
      <c r="IP107" s="77"/>
      <c r="IQ107" s="77"/>
      <c r="IR107" s="77"/>
      <c r="IS107" s="77"/>
      <c r="IT107" s="77"/>
      <c r="IU107" s="77"/>
      <c r="IV107" s="77"/>
    </row>
    <row r="108" spans="1:256" s="506" customFormat="1" ht="13.5" customHeight="1">
      <c r="A108" s="530">
        <v>30</v>
      </c>
      <c r="B108" s="34">
        <v>921</v>
      </c>
      <c r="C108" s="34" t="s">
        <v>248</v>
      </c>
      <c r="D108" s="34" t="s">
        <v>255</v>
      </c>
      <c r="E108" s="34" t="s">
        <v>115</v>
      </c>
      <c r="F108" s="673">
        <f>F109</f>
        <v>36.9</v>
      </c>
      <c r="G108" s="79"/>
      <c r="H108" s="532">
        <f>F108*G108</f>
        <v>0</v>
      </c>
      <c r="I108" s="533" t="s">
        <v>739</v>
      </c>
      <c r="J108" s="505"/>
      <c r="K108" s="505"/>
      <c r="L108" s="505"/>
      <c r="M108" s="505"/>
      <c r="N108" s="505"/>
      <c r="O108" s="505"/>
      <c r="P108" s="505"/>
      <c r="Q108" s="505"/>
      <c r="R108" s="505"/>
      <c r="S108" s="505"/>
      <c r="T108" s="949"/>
      <c r="U108" s="685"/>
      <c r="V108" s="505"/>
      <c r="W108" s="661"/>
      <c r="X108" s="661"/>
      <c r="Y108" s="661"/>
      <c r="Z108" s="661"/>
      <c r="AA108" s="661"/>
      <c r="AB108" s="661"/>
      <c r="AC108" s="661"/>
      <c r="AD108" s="661"/>
      <c r="AE108" s="505"/>
      <c r="AF108" s="505"/>
      <c r="AG108" s="949"/>
      <c r="AH108" s="452"/>
      <c r="AI108" s="452"/>
      <c r="AJ108" s="452"/>
      <c r="AK108" s="452"/>
      <c r="AL108" s="509"/>
      <c r="AM108" s="509"/>
      <c r="AN108" s="509"/>
      <c r="AO108" s="509"/>
      <c r="AP108" s="509"/>
      <c r="AQ108" s="509"/>
      <c r="AR108" s="509"/>
      <c r="AS108" s="509"/>
      <c r="AT108" s="509"/>
      <c r="AU108" s="509"/>
      <c r="AV108" s="509"/>
      <c r="AW108" s="509"/>
      <c r="AX108" s="509"/>
      <c r="AY108" s="505"/>
      <c r="AZ108" s="505"/>
      <c r="BA108" s="505"/>
      <c r="BB108" s="505"/>
      <c r="BC108" s="505"/>
      <c r="BD108" s="505"/>
      <c r="BE108" s="505"/>
      <c r="BF108" s="505"/>
      <c r="BG108" s="505"/>
      <c r="BH108" s="505"/>
      <c r="BI108" s="505"/>
    </row>
    <row r="109" spans="1:256" s="506" customFormat="1" ht="27" customHeight="1">
      <c r="A109" s="530"/>
      <c r="B109" s="34"/>
      <c r="C109" s="674"/>
      <c r="D109" s="36" t="s">
        <v>818</v>
      </c>
      <c r="E109" s="674"/>
      <c r="F109" s="675">
        <f>(34.9+2)</f>
        <v>36.9</v>
      </c>
      <c r="G109" s="676"/>
      <c r="H109" s="676"/>
      <c r="I109" s="533"/>
      <c r="J109" s="505"/>
      <c r="K109" s="505"/>
      <c r="L109" s="505"/>
      <c r="M109" s="505"/>
      <c r="N109" s="505"/>
      <c r="O109" s="505"/>
      <c r="P109" s="505"/>
      <c r="Q109" s="505"/>
      <c r="R109" s="505"/>
      <c r="S109" s="505"/>
      <c r="T109" s="949"/>
      <c r="U109" s="505"/>
      <c r="V109" s="505"/>
      <c r="W109" s="952"/>
      <c r="X109" s="505"/>
      <c r="Y109" s="505"/>
      <c r="Z109" s="505"/>
      <c r="AA109" s="505"/>
      <c r="AB109" s="505"/>
      <c r="AC109" s="505"/>
      <c r="AD109" s="505"/>
      <c r="AE109" s="505"/>
      <c r="AF109" s="505"/>
      <c r="AG109" s="949"/>
      <c r="AH109" s="452"/>
      <c r="AI109" s="452"/>
      <c r="AJ109" s="452"/>
      <c r="AK109" s="452"/>
      <c r="AL109" s="509"/>
      <c r="AM109" s="509"/>
      <c r="AN109" s="509"/>
      <c r="AO109" s="509"/>
      <c r="AP109" s="509"/>
      <c r="AQ109" s="509"/>
      <c r="AR109" s="509"/>
      <c r="AS109" s="509"/>
      <c r="AT109" s="509"/>
      <c r="AU109" s="509"/>
      <c r="AV109" s="509"/>
      <c r="AW109" s="509"/>
      <c r="AX109" s="509"/>
      <c r="AY109" s="505"/>
      <c r="AZ109" s="505"/>
      <c r="BA109" s="505"/>
      <c r="BB109" s="505"/>
      <c r="BC109" s="505"/>
      <c r="BD109" s="505"/>
      <c r="BE109" s="505"/>
      <c r="BF109" s="505"/>
      <c r="BG109" s="505"/>
      <c r="BH109" s="505"/>
      <c r="BI109" s="505"/>
    </row>
    <row r="110" spans="1:256" s="506" customFormat="1" ht="67.5" customHeight="1">
      <c r="A110" s="679"/>
      <c r="B110" s="680"/>
      <c r="C110" s="863"/>
      <c r="D110" s="388" t="s">
        <v>195</v>
      </c>
      <c r="E110" s="46"/>
      <c r="F110" s="682"/>
      <c r="G110" s="683"/>
      <c r="H110" s="84"/>
      <c r="I110" s="533"/>
      <c r="J110" s="857"/>
      <c r="K110" s="857"/>
      <c r="L110" s="857"/>
      <c r="M110" s="685"/>
      <c r="N110" s="857"/>
      <c r="O110" s="857"/>
      <c r="P110" s="857"/>
      <c r="Q110" s="857"/>
      <c r="R110" s="513"/>
      <c r="S110" s="513"/>
      <c r="T110" s="513"/>
      <c r="U110" s="513"/>
      <c r="V110" s="513"/>
      <c r="W110" s="513"/>
      <c r="X110" s="513"/>
      <c r="Y110" s="513"/>
      <c r="Z110" s="452"/>
      <c r="AA110" s="452"/>
      <c r="AB110" s="452"/>
      <c r="AC110" s="452"/>
      <c r="AD110" s="452"/>
      <c r="AE110" s="452"/>
      <c r="AF110" s="452"/>
      <c r="AG110" s="452"/>
      <c r="AH110" s="452"/>
      <c r="AI110" s="452"/>
      <c r="AJ110" s="452"/>
      <c r="AK110" s="452"/>
      <c r="AL110" s="509"/>
      <c r="AM110" s="509"/>
      <c r="AN110" s="509"/>
      <c r="AO110" s="509"/>
      <c r="AP110" s="509"/>
      <c r="AQ110" s="509"/>
      <c r="AR110" s="509"/>
      <c r="AS110" s="509"/>
      <c r="AT110" s="509"/>
      <c r="AU110" s="509"/>
      <c r="AV110" s="509"/>
      <c r="AW110" s="509"/>
      <c r="AX110" s="509"/>
      <c r="AY110" s="513"/>
      <c r="AZ110" s="513"/>
      <c r="BA110" s="513"/>
      <c r="BB110" s="513"/>
      <c r="BC110" s="513"/>
      <c r="BD110" s="513"/>
      <c r="BE110" s="513"/>
      <c r="BF110" s="513"/>
      <c r="BG110" s="513"/>
      <c r="BH110" s="513"/>
      <c r="BI110" s="513"/>
      <c r="BJ110" s="77"/>
      <c r="BK110" s="77"/>
      <c r="BL110" s="77"/>
      <c r="BM110" s="77"/>
      <c r="BN110" s="77"/>
      <c r="BO110" s="77"/>
      <c r="BP110" s="77"/>
      <c r="BQ110" s="77"/>
      <c r="BR110" s="77"/>
      <c r="BS110" s="77"/>
      <c r="BT110" s="77"/>
      <c r="BU110" s="77"/>
      <c r="BV110" s="77"/>
      <c r="BW110" s="77"/>
      <c r="BX110" s="77"/>
      <c r="BY110" s="77"/>
      <c r="BZ110" s="77"/>
      <c r="CA110" s="77"/>
      <c r="CB110" s="77"/>
      <c r="CC110" s="77"/>
      <c r="CD110" s="77"/>
      <c r="CE110" s="77"/>
      <c r="CF110" s="77"/>
      <c r="CG110" s="77"/>
      <c r="CH110" s="77"/>
      <c r="CI110" s="77"/>
      <c r="CJ110" s="77"/>
      <c r="CK110" s="77"/>
      <c r="CL110" s="77"/>
      <c r="CM110" s="77"/>
      <c r="CN110" s="77"/>
      <c r="CO110" s="77"/>
      <c r="CP110" s="77"/>
      <c r="CQ110" s="77"/>
      <c r="CR110" s="77"/>
      <c r="CS110" s="77"/>
      <c r="CT110" s="77"/>
      <c r="CU110" s="77"/>
      <c r="CV110" s="77"/>
      <c r="CW110" s="77"/>
      <c r="CX110" s="77"/>
      <c r="CY110" s="77"/>
      <c r="CZ110" s="77"/>
      <c r="DA110" s="77"/>
      <c r="DB110" s="77"/>
      <c r="DC110" s="77"/>
      <c r="DD110" s="77"/>
      <c r="DE110" s="77"/>
      <c r="DF110" s="77"/>
      <c r="DG110" s="77"/>
      <c r="DH110" s="77"/>
      <c r="DI110" s="77"/>
      <c r="DJ110" s="77"/>
      <c r="DK110" s="77"/>
      <c r="DL110" s="77"/>
      <c r="DM110" s="77"/>
      <c r="DN110" s="77"/>
      <c r="DO110" s="77"/>
      <c r="DP110" s="77"/>
      <c r="DQ110" s="77"/>
      <c r="DR110" s="77"/>
      <c r="DS110" s="77"/>
      <c r="DT110" s="77"/>
      <c r="DU110" s="77"/>
      <c r="DV110" s="77"/>
      <c r="DW110" s="77"/>
      <c r="DX110" s="77"/>
      <c r="DY110" s="77"/>
      <c r="DZ110" s="77"/>
      <c r="EA110" s="77"/>
      <c r="EB110" s="77"/>
      <c r="EC110" s="77"/>
      <c r="ED110" s="77"/>
      <c r="EE110" s="77"/>
      <c r="EF110" s="77"/>
      <c r="EG110" s="77"/>
      <c r="EH110" s="77"/>
      <c r="EI110" s="77"/>
      <c r="EJ110" s="77"/>
      <c r="EK110" s="77"/>
      <c r="EL110" s="77"/>
      <c r="EM110" s="77"/>
      <c r="EN110" s="77"/>
      <c r="EO110" s="77"/>
      <c r="EP110" s="77"/>
      <c r="EQ110" s="77"/>
      <c r="ER110" s="77"/>
      <c r="ES110" s="77"/>
      <c r="ET110" s="77"/>
      <c r="EU110" s="77"/>
      <c r="EV110" s="77"/>
      <c r="EW110" s="77"/>
      <c r="EX110" s="77"/>
      <c r="EY110" s="77"/>
      <c r="EZ110" s="77"/>
      <c r="FA110" s="77"/>
      <c r="FB110" s="77"/>
      <c r="FC110" s="77"/>
      <c r="FD110" s="77"/>
      <c r="FE110" s="77"/>
      <c r="FF110" s="77"/>
      <c r="FG110" s="77"/>
      <c r="FH110" s="77"/>
      <c r="FI110" s="77"/>
      <c r="FJ110" s="77"/>
      <c r="FK110" s="77"/>
      <c r="FL110" s="77"/>
      <c r="FM110" s="77"/>
      <c r="FN110" s="77"/>
      <c r="FO110" s="77"/>
      <c r="FP110" s="77"/>
      <c r="FQ110" s="77"/>
      <c r="FR110" s="77"/>
      <c r="FS110" s="77"/>
      <c r="FT110" s="77"/>
      <c r="FU110" s="77"/>
      <c r="FV110" s="77"/>
      <c r="FW110" s="77"/>
      <c r="FX110" s="77"/>
      <c r="FY110" s="77"/>
      <c r="FZ110" s="77"/>
      <c r="GA110" s="77"/>
      <c r="GB110" s="77"/>
      <c r="GC110" s="77"/>
      <c r="GD110" s="77"/>
      <c r="GE110" s="77"/>
      <c r="GF110" s="77"/>
      <c r="GG110" s="77"/>
      <c r="GH110" s="77"/>
      <c r="GI110" s="77"/>
      <c r="GJ110" s="77"/>
      <c r="GK110" s="77"/>
      <c r="GL110" s="77"/>
      <c r="GM110" s="77"/>
      <c r="GN110" s="77"/>
      <c r="GO110" s="77"/>
      <c r="GP110" s="77"/>
      <c r="GQ110" s="77"/>
      <c r="GR110" s="77"/>
      <c r="GS110" s="77"/>
      <c r="GT110" s="77"/>
      <c r="GU110" s="77"/>
      <c r="GV110" s="77"/>
      <c r="GW110" s="77"/>
      <c r="GX110" s="77"/>
      <c r="GY110" s="77"/>
      <c r="GZ110" s="77"/>
      <c r="HA110" s="77"/>
      <c r="HB110" s="77"/>
      <c r="HC110" s="77"/>
      <c r="HD110" s="77"/>
      <c r="HE110" s="77"/>
      <c r="HF110" s="77"/>
      <c r="HG110" s="77"/>
      <c r="HH110" s="77"/>
      <c r="HI110" s="77"/>
      <c r="HJ110" s="77"/>
      <c r="HK110" s="77"/>
      <c r="HL110" s="77"/>
      <c r="HM110" s="77"/>
      <c r="HN110" s="77"/>
      <c r="HO110" s="77"/>
      <c r="HP110" s="77"/>
      <c r="HQ110" s="77"/>
      <c r="HR110" s="77"/>
      <c r="HS110" s="77"/>
      <c r="HT110" s="77"/>
      <c r="HU110" s="77"/>
      <c r="HV110" s="77"/>
      <c r="HW110" s="77"/>
      <c r="HX110" s="77"/>
      <c r="HY110" s="77"/>
      <c r="HZ110" s="77"/>
      <c r="IA110" s="77"/>
      <c r="IB110" s="77"/>
      <c r="IC110" s="77"/>
      <c r="ID110" s="77"/>
      <c r="IE110" s="77"/>
      <c r="IF110" s="77"/>
      <c r="IG110" s="77"/>
      <c r="IH110" s="77"/>
      <c r="II110" s="77"/>
      <c r="IJ110" s="77"/>
      <c r="IK110" s="77"/>
      <c r="IL110" s="77"/>
      <c r="IM110" s="77"/>
      <c r="IN110" s="77"/>
      <c r="IO110" s="77"/>
      <c r="IP110" s="77"/>
      <c r="IQ110" s="77"/>
      <c r="IR110" s="77"/>
      <c r="IS110" s="77"/>
      <c r="IT110" s="77"/>
      <c r="IU110" s="77"/>
      <c r="IV110" s="77"/>
    </row>
    <row r="111" spans="1:256" s="960" customFormat="1" ht="13.5" customHeight="1">
      <c r="A111" s="955"/>
      <c r="B111" s="955"/>
      <c r="C111" s="956" t="s">
        <v>249</v>
      </c>
      <c r="D111" s="956" t="s">
        <v>250</v>
      </c>
      <c r="E111" s="956"/>
      <c r="F111" s="957"/>
      <c r="G111" s="958"/>
      <c r="H111" s="958">
        <f>SUM(H112:H117)</f>
        <v>0</v>
      </c>
      <c r="I111" s="959"/>
      <c r="J111" s="450"/>
      <c r="K111" s="450"/>
      <c r="L111" s="450"/>
      <c r="M111" s="450"/>
      <c r="N111" s="450"/>
      <c r="O111" s="450"/>
      <c r="P111" s="450"/>
      <c r="Q111" s="450"/>
      <c r="R111" s="450"/>
      <c r="S111" s="450"/>
      <c r="T111" s="450"/>
      <c r="U111" s="450"/>
      <c r="V111" s="857"/>
      <c r="W111" s="857"/>
      <c r="X111" s="857"/>
      <c r="Y111" s="857"/>
      <c r="Z111" s="857"/>
      <c r="AA111" s="857"/>
      <c r="AB111" s="857"/>
      <c r="AC111" s="857"/>
      <c r="AD111" s="857"/>
      <c r="AE111" s="857"/>
      <c r="AF111" s="857"/>
      <c r="AG111" s="857"/>
      <c r="AH111" s="857"/>
      <c r="AI111" s="857"/>
      <c r="AJ111" s="857"/>
      <c r="AK111" s="857"/>
      <c r="AL111" s="857"/>
      <c r="AM111" s="857"/>
      <c r="AN111" s="857"/>
      <c r="AO111" s="857"/>
      <c r="AP111" s="857"/>
      <c r="AQ111" s="857"/>
      <c r="AR111" s="857"/>
      <c r="AS111" s="857"/>
      <c r="AT111" s="857"/>
      <c r="AU111" s="857"/>
      <c r="AV111" s="857"/>
      <c r="AW111" s="857"/>
      <c r="AX111" s="857"/>
      <c r="AY111" s="450"/>
      <c r="AZ111" s="450"/>
      <c r="BA111" s="450"/>
      <c r="BB111" s="450"/>
      <c r="BC111" s="450"/>
      <c r="BD111" s="450"/>
      <c r="BE111" s="450"/>
      <c r="BF111" s="450"/>
      <c r="BG111" s="450"/>
      <c r="BH111" s="450"/>
      <c r="BI111" s="450"/>
    </row>
    <row r="112" spans="1:256" s="506" customFormat="1" ht="27" customHeight="1">
      <c r="A112" s="530">
        <v>31</v>
      </c>
      <c r="B112" s="34">
        <v>946</v>
      </c>
      <c r="C112" s="34" t="s">
        <v>313</v>
      </c>
      <c r="D112" s="34" t="s">
        <v>314</v>
      </c>
      <c r="E112" s="34" t="s">
        <v>115</v>
      </c>
      <c r="F112" s="673">
        <f>F113</f>
        <v>36.9</v>
      </c>
      <c r="G112" s="79"/>
      <c r="H112" s="532">
        <f>F112*G112</f>
        <v>0</v>
      </c>
      <c r="I112" s="533" t="s">
        <v>739</v>
      </c>
      <c r="J112" s="948"/>
      <c r="K112" s="505"/>
      <c r="L112" s="951"/>
      <c r="M112" s="951"/>
      <c r="N112" s="951"/>
      <c r="O112" s="951"/>
      <c r="P112" s="951"/>
      <c r="Q112" s="951"/>
      <c r="R112" s="951"/>
      <c r="S112" s="949"/>
      <c r="T112" s="505"/>
      <c r="U112" s="505"/>
      <c r="V112" s="509"/>
      <c r="W112" s="509"/>
      <c r="X112" s="509"/>
      <c r="Y112" s="509"/>
      <c r="Z112" s="509"/>
      <c r="AA112" s="509"/>
      <c r="AB112" s="509"/>
      <c r="AC112" s="509"/>
      <c r="AD112" s="509"/>
      <c r="AE112" s="509"/>
      <c r="AF112" s="509"/>
      <c r="AG112" s="509"/>
      <c r="AH112" s="509"/>
      <c r="AI112" s="509"/>
      <c r="AJ112" s="509"/>
      <c r="AK112" s="509"/>
      <c r="AL112" s="509"/>
      <c r="AM112" s="509"/>
      <c r="AN112" s="509"/>
      <c r="AO112" s="509"/>
      <c r="AP112" s="509"/>
      <c r="AQ112" s="509"/>
      <c r="AR112" s="509"/>
      <c r="AS112" s="509"/>
      <c r="AT112" s="509"/>
      <c r="AU112" s="509"/>
      <c r="AV112" s="509"/>
      <c r="AW112" s="509"/>
      <c r="AX112" s="509"/>
      <c r="AY112" s="505"/>
      <c r="AZ112" s="505"/>
      <c r="BA112" s="505"/>
      <c r="BB112" s="505"/>
      <c r="BC112" s="505"/>
      <c r="BD112" s="505"/>
      <c r="BE112" s="505"/>
      <c r="BF112" s="505"/>
      <c r="BG112" s="505"/>
      <c r="BH112" s="505"/>
      <c r="BI112" s="505"/>
    </row>
    <row r="113" spans="1:256" s="506" customFormat="1" ht="13.5" customHeight="1">
      <c r="A113" s="530"/>
      <c r="B113" s="34"/>
      <c r="C113" s="674"/>
      <c r="D113" s="36" t="s">
        <v>819</v>
      </c>
      <c r="E113" s="674"/>
      <c r="F113" s="675">
        <f>(34.9+2)</f>
        <v>36.9</v>
      </c>
      <c r="G113" s="676"/>
      <c r="H113" s="676"/>
      <c r="I113" s="533"/>
      <c r="J113" s="952"/>
      <c r="K113" s="505"/>
      <c r="L113" s="505"/>
      <c r="M113" s="685"/>
      <c r="N113" s="505"/>
      <c r="O113" s="505"/>
      <c r="P113" s="505"/>
      <c r="Q113" s="505"/>
      <c r="R113" s="505"/>
      <c r="S113" s="505"/>
      <c r="T113" s="505"/>
      <c r="U113" s="505"/>
      <c r="V113" s="509"/>
      <c r="W113" s="509"/>
      <c r="X113" s="509"/>
      <c r="Y113" s="509"/>
      <c r="Z113" s="509"/>
      <c r="AA113" s="509"/>
      <c r="AB113" s="509"/>
      <c r="AC113" s="509"/>
      <c r="AD113" s="509"/>
      <c r="AE113" s="509"/>
      <c r="AF113" s="509"/>
      <c r="AG113" s="509"/>
      <c r="AH113" s="509"/>
      <c r="AI113" s="509"/>
      <c r="AJ113" s="509"/>
      <c r="AK113" s="509"/>
      <c r="AL113" s="509"/>
      <c r="AM113" s="509"/>
      <c r="AN113" s="509"/>
      <c r="AO113" s="509"/>
      <c r="AP113" s="509"/>
      <c r="AQ113" s="509"/>
      <c r="AR113" s="509"/>
      <c r="AS113" s="509"/>
      <c r="AT113" s="509"/>
      <c r="AU113" s="509"/>
      <c r="AV113" s="509"/>
      <c r="AW113" s="509"/>
      <c r="AX113" s="509"/>
      <c r="AY113" s="505"/>
      <c r="AZ113" s="505"/>
      <c r="BA113" s="505"/>
      <c r="BB113" s="505"/>
      <c r="BC113" s="505"/>
      <c r="BD113" s="505"/>
      <c r="BE113" s="505"/>
      <c r="BF113" s="505"/>
      <c r="BG113" s="505"/>
      <c r="BH113" s="505"/>
      <c r="BI113" s="505"/>
    </row>
    <row r="114" spans="1:256" s="506" customFormat="1" ht="67.5" customHeight="1">
      <c r="A114" s="679"/>
      <c r="B114" s="680"/>
      <c r="C114" s="863"/>
      <c r="D114" s="388" t="s">
        <v>195</v>
      </c>
      <c r="E114" s="46"/>
      <c r="F114" s="682"/>
      <c r="G114" s="683"/>
      <c r="H114" s="84"/>
      <c r="I114" s="533"/>
      <c r="J114" s="857"/>
      <c r="K114" s="857"/>
      <c r="L114" s="857"/>
      <c r="M114" s="857"/>
      <c r="N114" s="857"/>
      <c r="O114" s="857"/>
      <c r="P114" s="857"/>
      <c r="Q114" s="857"/>
      <c r="R114" s="513"/>
      <c r="S114" s="513"/>
      <c r="T114" s="513"/>
      <c r="U114" s="513"/>
      <c r="V114" s="509"/>
      <c r="W114" s="509"/>
      <c r="X114" s="509"/>
      <c r="Y114" s="509"/>
      <c r="Z114" s="509"/>
      <c r="AA114" s="509"/>
      <c r="AB114" s="509"/>
      <c r="AC114" s="509"/>
      <c r="AD114" s="509"/>
      <c r="AE114" s="509"/>
      <c r="AF114" s="509"/>
      <c r="AG114" s="509"/>
      <c r="AH114" s="509"/>
      <c r="AI114" s="509"/>
      <c r="AJ114" s="509"/>
      <c r="AK114" s="509"/>
      <c r="AL114" s="509"/>
      <c r="AM114" s="509"/>
      <c r="AN114" s="509"/>
      <c r="AO114" s="509"/>
      <c r="AP114" s="509"/>
      <c r="AQ114" s="509"/>
      <c r="AR114" s="509"/>
      <c r="AS114" s="509"/>
      <c r="AT114" s="509"/>
      <c r="AU114" s="509"/>
      <c r="AV114" s="509"/>
      <c r="AW114" s="509"/>
      <c r="AX114" s="509"/>
      <c r="AY114" s="513"/>
      <c r="AZ114" s="513"/>
      <c r="BA114" s="513"/>
      <c r="BB114" s="513"/>
      <c r="BC114" s="513"/>
      <c r="BD114" s="513"/>
      <c r="BE114" s="513"/>
      <c r="BF114" s="513"/>
      <c r="BG114" s="513"/>
      <c r="BH114" s="513"/>
      <c r="BI114" s="513"/>
      <c r="BJ114" s="77"/>
      <c r="BK114" s="77"/>
      <c r="BL114" s="77"/>
      <c r="BM114" s="77"/>
      <c r="BN114" s="77"/>
      <c r="BO114" s="77"/>
      <c r="BP114" s="77"/>
      <c r="BQ114" s="77"/>
      <c r="BR114" s="77"/>
      <c r="BS114" s="77"/>
      <c r="BT114" s="77"/>
      <c r="BU114" s="77"/>
      <c r="BV114" s="77"/>
      <c r="BW114" s="77"/>
      <c r="BX114" s="77"/>
      <c r="BY114" s="77"/>
      <c r="BZ114" s="77"/>
      <c r="CA114" s="77"/>
      <c r="CB114" s="77"/>
      <c r="CC114" s="77"/>
      <c r="CD114" s="77"/>
      <c r="CE114" s="77"/>
      <c r="CF114" s="77"/>
      <c r="CG114" s="77"/>
      <c r="CH114" s="77"/>
      <c r="CI114" s="77"/>
      <c r="CJ114" s="77"/>
      <c r="CK114" s="77"/>
      <c r="CL114" s="77"/>
      <c r="CM114" s="77"/>
      <c r="CN114" s="77"/>
      <c r="CO114" s="77"/>
      <c r="CP114" s="77"/>
      <c r="CQ114" s="77"/>
      <c r="CR114" s="77"/>
      <c r="CS114" s="77"/>
      <c r="CT114" s="77"/>
      <c r="CU114" s="77"/>
      <c r="CV114" s="77"/>
      <c r="CW114" s="77"/>
      <c r="CX114" s="77"/>
      <c r="CY114" s="77"/>
      <c r="CZ114" s="77"/>
      <c r="DA114" s="77"/>
      <c r="DB114" s="77"/>
      <c r="DC114" s="77"/>
      <c r="DD114" s="77"/>
      <c r="DE114" s="77"/>
      <c r="DF114" s="77"/>
      <c r="DG114" s="77"/>
      <c r="DH114" s="77"/>
      <c r="DI114" s="77"/>
      <c r="DJ114" s="77"/>
      <c r="DK114" s="77"/>
      <c r="DL114" s="77"/>
      <c r="DM114" s="77"/>
      <c r="DN114" s="77"/>
      <c r="DO114" s="77"/>
      <c r="DP114" s="77"/>
      <c r="DQ114" s="77"/>
      <c r="DR114" s="77"/>
      <c r="DS114" s="77"/>
      <c r="DT114" s="77"/>
      <c r="DU114" s="77"/>
      <c r="DV114" s="77"/>
      <c r="DW114" s="77"/>
      <c r="DX114" s="77"/>
      <c r="DY114" s="77"/>
      <c r="DZ114" s="77"/>
      <c r="EA114" s="77"/>
      <c r="EB114" s="77"/>
      <c r="EC114" s="77"/>
      <c r="ED114" s="77"/>
      <c r="EE114" s="77"/>
      <c r="EF114" s="77"/>
      <c r="EG114" s="77"/>
      <c r="EH114" s="77"/>
      <c r="EI114" s="77"/>
      <c r="EJ114" s="77"/>
      <c r="EK114" s="77"/>
      <c r="EL114" s="77"/>
      <c r="EM114" s="77"/>
      <c r="EN114" s="77"/>
      <c r="EO114" s="77"/>
      <c r="EP114" s="77"/>
      <c r="EQ114" s="77"/>
      <c r="ER114" s="77"/>
      <c r="ES114" s="77"/>
      <c r="ET114" s="77"/>
      <c r="EU114" s="77"/>
      <c r="EV114" s="77"/>
      <c r="EW114" s="77"/>
      <c r="EX114" s="77"/>
      <c r="EY114" s="77"/>
      <c r="EZ114" s="77"/>
      <c r="FA114" s="77"/>
      <c r="FB114" s="77"/>
      <c r="FC114" s="77"/>
      <c r="FD114" s="77"/>
      <c r="FE114" s="77"/>
      <c r="FF114" s="77"/>
      <c r="FG114" s="77"/>
      <c r="FH114" s="77"/>
      <c r="FI114" s="77"/>
      <c r="FJ114" s="77"/>
      <c r="FK114" s="77"/>
      <c r="FL114" s="77"/>
      <c r="FM114" s="77"/>
      <c r="FN114" s="77"/>
      <c r="FO114" s="77"/>
      <c r="FP114" s="77"/>
      <c r="FQ114" s="77"/>
      <c r="FR114" s="77"/>
      <c r="FS114" s="77"/>
      <c r="FT114" s="77"/>
      <c r="FU114" s="77"/>
      <c r="FV114" s="77"/>
      <c r="FW114" s="77"/>
      <c r="FX114" s="77"/>
      <c r="FY114" s="77"/>
      <c r="FZ114" s="77"/>
      <c r="GA114" s="77"/>
      <c r="GB114" s="77"/>
      <c r="GC114" s="77"/>
      <c r="GD114" s="77"/>
      <c r="GE114" s="77"/>
      <c r="GF114" s="77"/>
      <c r="GG114" s="77"/>
      <c r="GH114" s="77"/>
      <c r="GI114" s="77"/>
      <c r="GJ114" s="77"/>
      <c r="GK114" s="77"/>
      <c r="GL114" s="77"/>
      <c r="GM114" s="77"/>
      <c r="GN114" s="77"/>
      <c r="GO114" s="77"/>
      <c r="GP114" s="77"/>
      <c r="GQ114" s="77"/>
      <c r="GR114" s="77"/>
      <c r="GS114" s="77"/>
      <c r="GT114" s="77"/>
      <c r="GU114" s="77"/>
      <c r="GV114" s="77"/>
      <c r="GW114" s="77"/>
      <c r="GX114" s="77"/>
      <c r="GY114" s="77"/>
      <c r="GZ114" s="77"/>
      <c r="HA114" s="77"/>
      <c r="HB114" s="77"/>
      <c r="HC114" s="77"/>
      <c r="HD114" s="77"/>
      <c r="HE114" s="77"/>
      <c r="HF114" s="77"/>
      <c r="HG114" s="77"/>
      <c r="HH114" s="77"/>
      <c r="HI114" s="77"/>
      <c r="HJ114" s="77"/>
      <c r="HK114" s="77"/>
      <c r="HL114" s="77"/>
      <c r="HM114" s="77"/>
      <c r="HN114" s="77"/>
      <c r="HO114" s="77"/>
      <c r="HP114" s="77"/>
      <c r="HQ114" s="77"/>
      <c r="HR114" s="77"/>
      <c r="HS114" s="77"/>
      <c r="HT114" s="77"/>
      <c r="HU114" s="77"/>
      <c r="HV114" s="77"/>
      <c r="HW114" s="77"/>
      <c r="HX114" s="77"/>
      <c r="HY114" s="77"/>
      <c r="HZ114" s="77"/>
      <c r="IA114" s="77"/>
      <c r="IB114" s="77"/>
      <c r="IC114" s="77"/>
      <c r="ID114" s="77"/>
      <c r="IE114" s="77"/>
      <c r="IF114" s="77"/>
      <c r="IG114" s="77"/>
      <c r="IH114" s="77"/>
      <c r="II114" s="77"/>
      <c r="IJ114" s="77"/>
      <c r="IK114" s="77"/>
      <c r="IL114" s="77"/>
      <c r="IM114" s="77"/>
      <c r="IN114" s="77"/>
      <c r="IO114" s="77"/>
      <c r="IP114" s="77"/>
      <c r="IQ114" s="77"/>
      <c r="IR114" s="77"/>
      <c r="IS114" s="77"/>
      <c r="IT114" s="77"/>
      <c r="IU114" s="77"/>
      <c r="IV114" s="77"/>
    </row>
    <row r="115" spans="1:256" s="506" customFormat="1" ht="27" customHeight="1">
      <c r="A115" s="530">
        <v>32</v>
      </c>
      <c r="B115" s="34">
        <v>946</v>
      </c>
      <c r="C115" s="34" t="s">
        <v>288</v>
      </c>
      <c r="D115" s="34" t="s">
        <v>256</v>
      </c>
      <c r="E115" s="34" t="s">
        <v>115</v>
      </c>
      <c r="F115" s="673">
        <f>F116</f>
        <v>36.9</v>
      </c>
      <c r="G115" s="79"/>
      <c r="H115" s="532">
        <f>F115*G115</f>
        <v>0</v>
      </c>
      <c r="I115" s="533" t="s">
        <v>739</v>
      </c>
      <c r="J115" s="948"/>
      <c r="K115" s="950"/>
      <c r="L115" s="951"/>
      <c r="M115" s="951"/>
      <c r="N115" s="951"/>
      <c r="O115" s="951"/>
      <c r="P115" s="951"/>
      <c r="Q115" s="951"/>
      <c r="R115" s="951"/>
      <c r="S115" s="505"/>
      <c r="T115" s="949"/>
      <c r="U115" s="946"/>
      <c r="V115" s="505"/>
      <c r="W115" s="505"/>
      <c r="X115" s="505"/>
      <c r="Y115" s="505"/>
      <c r="Z115" s="505"/>
      <c r="AA115" s="505"/>
      <c r="AB115" s="505"/>
      <c r="AC115" s="505"/>
      <c r="AD115" s="505"/>
      <c r="AE115" s="505"/>
      <c r="AF115" s="505"/>
      <c r="AG115" s="505"/>
      <c r="AH115" s="505"/>
      <c r="AI115" s="505"/>
      <c r="AJ115" s="505"/>
      <c r="AK115" s="505"/>
      <c r="AL115" s="505"/>
      <c r="AM115" s="505"/>
      <c r="AN115" s="505"/>
      <c r="AO115" s="505"/>
      <c r="AP115" s="505"/>
      <c r="AQ115" s="505"/>
      <c r="AR115" s="505"/>
      <c r="AS115" s="505"/>
      <c r="AT115" s="505"/>
      <c r="AU115" s="505"/>
      <c r="AV115" s="505"/>
      <c r="AW115" s="505"/>
      <c r="AX115" s="505"/>
      <c r="AY115" s="505"/>
      <c r="AZ115" s="505"/>
      <c r="BA115" s="505"/>
      <c r="BB115" s="505"/>
      <c r="BC115" s="505"/>
      <c r="BD115" s="505"/>
      <c r="BE115" s="505"/>
      <c r="BF115" s="505"/>
      <c r="BG115" s="505"/>
      <c r="BH115" s="505"/>
      <c r="BI115" s="505"/>
    </row>
    <row r="116" spans="1:256" s="506" customFormat="1" ht="13.5" customHeight="1">
      <c r="A116" s="530"/>
      <c r="B116" s="34"/>
      <c r="C116" s="674"/>
      <c r="D116" s="36" t="s">
        <v>819</v>
      </c>
      <c r="E116" s="674"/>
      <c r="F116" s="675">
        <f>(34.9+2)</f>
        <v>36.9</v>
      </c>
      <c r="G116" s="676"/>
      <c r="H116" s="676"/>
      <c r="I116" s="533"/>
      <c r="J116" s="952"/>
      <c r="K116" s="505"/>
      <c r="L116" s="505"/>
      <c r="M116" s="685"/>
      <c r="N116" s="505"/>
      <c r="O116" s="505"/>
      <c r="P116" s="505"/>
      <c r="Q116" s="505"/>
      <c r="R116" s="505"/>
      <c r="S116" s="505"/>
      <c r="T116" s="505"/>
      <c r="U116" s="373"/>
      <c r="V116" s="373"/>
      <c r="W116" s="373"/>
      <c r="X116" s="373"/>
      <c r="Y116" s="373"/>
      <c r="Z116" s="373"/>
      <c r="AA116" s="373"/>
      <c r="AB116" s="373"/>
      <c r="AC116" s="373"/>
      <c r="AD116" s="373"/>
      <c r="AE116" s="373"/>
      <c r="AF116" s="373"/>
      <c r="AG116" s="373"/>
      <c r="AH116" s="373"/>
      <c r="AI116" s="373"/>
      <c r="AJ116" s="373"/>
      <c r="AK116" s="373"/>
      <c r="AL116" s="373"/>
      <c r="AM116" s="373"/>
      <c r="AN116" s="373"/>
      <c r="AO116" s="373"/>
      <c r="AP116" s="373"/>
      <c r="AQ116" s="373"/>
      <c r="AR116" s="373"/>
      <c r="AS116" s="373"/>
      <c r="AT116" s="373"/>
      <c r="AU116" s="373"/>
      <c r="AV116" s="373"/>
      <c r="AW116" s="373"/>
      <c r="AX116" s="373"/>
      <c r="AY116" s="505"/>
      <c r="AZ116" s="505"/>
      <c r="BA116" s="505"/>
      <c r="BB116" s="505"/>
      <c r="BC116" s="505"/>
      <c r="BD116" s="505"/>
      <c r="BE116" s="505"/>
      <c r="BF116" s="505"/>
      <c r="BG116" s="505"/>
      <c r="BH116" s="505"/>
      <c r="BI116" s="505"/>
    </row>
    <row r="117" spans="1:256" s="506" customFormat="1" ht="67.5" customHeight="1">
      <c r="A117" s="679"/>
      <c r="B117" s="680"/>
      <c r="C117" s="863"/>
      <c r="D117" s="388" t="s">
        <v>195</v>
      </c>
      <c r="E117" s="46"/>
      <c r="F117" s="682"/>
      <c r="G117" s="683"/>
      <c r="H117" s="84"/>
      <c r="I117" s="533"/>
      <c r="J117" s="857"/>
      <c r="K117" s="857"/>
      <c r="L117" s="857"/>
      <c r="M117" s="857"/>
      <c r="N117" s="857"/>
      <c r="O117" s="857"/>
      <c r="P117" s="857"/>
      <c r="Q117" s="857"/>
      <c r="R117" s="513"/>
      <c r="S117" s="513"/>
      <c r="T117" s="513"/>
      <c r="U117" s="509"/>
      <c r="V117" s="509"/>
      <c r="W117" s="509"/>
      <c r="X117" s="509"/>
      <c r="Y117" s="509"/>
      <c r="Z117" s="509"/>
      <c r="AA117" s="509"/>
      <c r="AB117" s="509"/>
      <c r="AC117" s="509"/>
      <c r="AD117" s="509"/>
      <c r="AE117" s="509"/>
      <c r="AF117" s="509"/>
      <c r="AG117" s="509"/>
      <c r="AH117" s="509"/>
      <c r="AI117" s="509"/>
      <c r="AJ117" s="509"/>
      <c r="AK117" s="509"/>
      <c r="AL117" s="509"/>
      <c r="AM117" s="509"/>
      <c r="AN117" s="509"/>
      <c r="AO117" s="509"/>
      <c r="AP117" s="509"/>
      <c r="AQ117" s="509"/>
      <c r="AR117" s="509"/>
      <c r="AS117" s="509"/>
      <c r="AT117" s="509"/>
      <c r="AU117" s="509"/>
      <c r="AV117" s="509"/>
      <c r="AW117" s="509"/>
      <c r="AX117" s="509"/>
      <c r="AY117" s="513"/>
      <c r="AZ117" s="513"/>
      <c r="BA117" s="513"/>
      <c r="BB117" s="513"/>
      <c r="BC117" s="513"/>
      <c r="BD117" s="513"/>
      <c r="BE117" s="513"/>
      <c r="BF117" s="513"/>
      <c r="BG117" s="513"/>
      <c r="BH117" s="513"/>
      <c r="BI117" s="513"/>
      <c r="BJ117" s="77"/>
      <c r="BK117" s="77"/>
      <c r="BL117" s="77"/>
      <c r="BM117" s="77"/>
      <c r="BN117" s="77"/>
      <c r="BO117" s="77"/>
      <c r="BP117" s="77"/>
      <c r="BQ117" s="77"/>
      <c r="BR117" s="77"/>
      <c r="BS117" s="77"/>
      <c r="BT117" s="77"/>
      <c r="BU117" s="77"/>
      <c r="BV117" s="77"/>
      <c r="BW117" s="77"/>
      <c r="BX117" s="77"/>
      <c r="BY117" s="77"/>
      <c r="BZ117" s="77"/>
      <c r="CA117" s="77"/>
      <c r="CB117" s="77"/>
      <c r="CC117" s="77"/>
      <c r="CD117" s="77"/>
      <c r="CE117" s="77"/>
      <c r="CF117" s="77"/>
      <c r="CG117" s="77"/>
      <c r="CH117" s="77"/>
      <c r="CI117" s="77"/>
      <c r="CJ117" s="77"/>
      <c r="CK117" s="77"/>
      <c r="CL117" s="77"/>
      <c r="CM117" s="77"/>
      <c r="CN117" s="77"/>
      <c r="CO117" s="77"/>
      <c r="CP117" s="77"/>
      <c r="CQ117" s="77"/>
      <c r="CR117" s="77"/>
      <c r="CS117" s="77"/>
      <c r="CT117" s="77"/>
      <c r="CU117" s="77"/>
      <c r="CV117" s="77"/>
      <c r="CW117" s="77"/>
      <c r="CX117" s="77"/>
      <c r="CY117" s="77"/>
      <c r="CZ117" s="77"/>
      <c r="DA117" s="77"/>
      <c r="DB117" s="77"/>
      <c r="DC117" s="77"/>
      <c r="DD117" s="77"/>
      <c r="DE117" s="77"/>
      <c r="DF117" s="77"/>
      <c r="DG117" s="77"/>
      <c r="DH117" s="77"/>
      <c r="DI117" s="77"/>
      <c r="DJ117" s="77"/>
      <c r="DK117" s="77"/>
      <c r="DL117" s="77"/>
      <c r="DM117" s="77"/>
      <c r="DN117" s="77"/>
      <c r="DO117" s="77"/>
      <c r="DP117" s="77"/>
      <c r="DQ117" s="77"/>
      <c r="DR117" s="77"/>
      <c r="DS117" s="77"/>
      <c r="DT117" s="77"/>
      <c r="DU117" s="77"/>
      <c r="DV117" s="77"/>
      <c r="DW117" s="77"/>
      <c r="DX117" s="77"/>
      <c r="DY117" s="77"/>
      <c r="DZ117" s="77"/>
      <c r="EA117" s="77"/>
      <c r="EB117" s="77"/>
      <c r="EC117" s="77"/>
      <c r="ED117" s="77"/>
      <c r="EE117" s="77"/>
      <c r="EF117" s="77"/>
      <c r="EG117" s="77"/>
      <c r="EH117" s="77"/>
      <c r="EI117" s="77"/>
      <c r="EJ117" s="77"/>
      <c r="EK117" s="77"/>
      <c r="EL117" s="77"/>
      <c r="EM117" s="77"/>
      <c r="EN117" s="77"/>
      <c r="EO117" s="77"/>
      <c r="EP117" s="77"/>
      <c r="EQ117" s="77"/>
      <c r="ER117" s="77"/>
      <c r="ES117" s="77"/>
      <c r="ET117" s="77"/>
      <c r="EU117" s="77"/>
      <c r="EV117" s="77"/>
      <c r="EW117" s="77"/>
      <c r="EX117" s="77"/>
      <c r="EY117" s="77"/>
      <c r="EZ117" s="77"/>
      <c r="FA117" s="77"/>
      <c r="FB117" s="77"/>
      <c r="FC117" s="77"/>
      <c r="FD117" s="77"/>
      <c r="FE117" s="77"/>
      <c r="FF117" s="77"/>
      <c r="FG117" s="77"/>
      <c r="FH117" s="77"/>
      <c r="FI117" s="77"/>
      <c r="FJ117" s="77"/>
      <c r="FK117" s="77"/>
      <c r="FL117" s="77"/>
      <c r="FM117" s="77"/>
      <c r="FN117" s="77"/>
      <c r="FO117" s="77"/>
      <c r="FP117" s="77"/>
      <c r="FQ117" s="77"/>
      <c r="FR117" s="77"/>
      <c r="FS117" s="77"/>
      <c r="FT117" s="77"/>
      <c r="FU117" s="77"/>
      <c r="FV117" s="77"/>
      <c r="FW117" s="77"/>
      <c r="FX117" s="77"/>
      <c r="FY117" s="77"/>
      <c r="FZ117" s="77"/>
      <c r="GA117" s="77"/>
      <c r="GB117" s="77"/>
      <c r="GC117" s="77"/>
      <c r="GD117" s="77"/>
      <c r="GE117" s="77"/>
      <c r="GF117" s="77"/>
      <c r="GG117" s="77"/>
      <c r="GH117" s="77"/>
      <c r="GI117" s="77"/>
      <c r="GJ117" s="77"/>
      <c r="GK117" s="77"/>
      <c r="GL117" s="77"/>
      <c r="GM117" s="77"/>
      <c r="GN117" s="77"/>
      <c r="GO117" s="77"/>
      <c r="GP117" s="77"/>
      <c r="GQ117" s="77"/>
      <c r="GR117" s="77"/>
      <c r="GS117" s="77"/>
      <c r="GT117" s="77"/>
      <c r="GU117" s="77"/>
      <c r="GV117" s="77"/>
      <c r="GW117" s="77"/>
      <c r="GX117" s="77"/>
      <c r="GY117" s="77"/>
      <c r="GZ117" s="77"/>
      <c r="HA117" s="77"/>
      <c r="HB117" s="77"/>
      <c r="HC117" s="77"/>
      <c r="HD117" s="77"/>
      <c r="HE117" s="77"/>
      <c r="HF117" s="77"/>
      <c r="HG117" s="77"/>
      <c r="HH117" s="77"/>
      <c r="HI117" s="77"/>
      <c r="HJ117" s="77"/>
      <c r="HK117" s="77"/>
      <c r="HL117" s="77"/>
      <c r="HM117" s="77"/>
      <c r="HN117" s="77"/>
      <c r="HO117" s="77"/>
      <c r="HP117" s="77"/>
      <c r="HQ117" s="77"/>
      <c r="HR117" s="77"/>
      <c r="HS117" s="77"/>
      <c r="HT117" s="77"/>
      <c r="HU117" s="77"/>
      <c r="HV117" s="77"/>
      <c r="HW117" s="77"/>
      <c r="HX117" s="77"/>
      <c r="HY117" s="77"/>
      <c r="HZ117" s="77"/>
      <c r="IA117" s="77"/>
      <c r="IB117" s="77"/>
      <c r="IC117" s="77"/>
      <c r="ID117" s="77"/>
      <c r="IE117" s="77"/>
      <c r="IF117" s="77"/>
      <c r="IG117" s="77"/>
      <c r="IH117" s="77"/>
      <c r="II117" s="77"/>
      <c r="IJ117" s="77"/>
      <c r="IK117" s="77"/>
      <c r="IL117" s="77"/>
      <c r="IM117" s="77"/>
      <c r="IN117" s="77"/>
      <c r="IO117" s="77"/>
      <c r="IP117" s="77"/>
      <c r="IQ117" s="77"/>
      <c r="IR117" s="77"/>
      <c r="IS117" s="77"/>
      <c r="IT117" s="77"/>
      <c r="IU117" s="77"/>
      <c r="IV117" s="77"/>
    </row>
    <row r="118" spans="1:256" ht="21" customHeight="1">
      <c r="A118" s="961"/>
      <c r="B118" s="962"/>
      <c r="C118" s="962"/>
      <c r="D118" s="962" t="s">
        <v>18</v>
      </c>
      <c r="E118" s="962"/>
      <c r="F118" s="963"/>
      <c r="G118" s="964"/>
      <c r="H118" s="964">
        <f>H96+H9</f>
        <v>0</v>
      </c>
      <c r="J118" s="452"/>
      <c r="K118" s="452"/>
      <c r="L118" s="452"/>
      <c r="M118" s="452"/>
      <c r="N118" s="452"/>
      <c r="O118" s="452"/>
      <c r="P118" s="452"/>
      <c r="Q118" s="452"/>
      <c r="R118" s="452"/>
      <c r="S118" s="452"/>
      <c r="T118" s="452"/>
      <c r="U118" s="452"/>
      <c r="V118" s="452"/>
      <c r="W118" s="452"/>
      <c r="X118" s="452"/>
      <c r="Y118" s="452"/>
      <c r="Z118" s="452"/>
      <c r="AA118" s="452"/>
      <c r="AB118" s="452"/>
      <c r="AC118" s="452"/>
      <c r="AD118" s="452"/>
      <c r="AE118" s="452"/>
      <c r="AF118" s="452"/>
      <c r="AG118" s="452"/>
      <c r="AH118" s="452"/>
      <c r="AI118" s="452"/>
      <c r="AJ118" s="452"/>
      <c r="AK118" s="452"/>
      <c r="AL118" s="452"/>
      <c r="AM118" s="452"/>
      <c r="AN118" s="452"/>
      <c r="AO118" s="452"/>
      <c r="AP118" s="452"/>
      <c r="AQ118" s="452"/>
      <c r="AR118" s="452"/>
      <c r="AS118" s="452"/>
      <c r="AT118" s="452"/>
      <c r="AU118" s="452"/>
      <c r="AV118" s="452"/>
      <c r="AW118" s="452"/>
      <c r="AX118" s="452"/>
    </row>
    <row r="119" spans="1:256" ht="12" customHeight="1">
      <c r="J119" s="552"/>
      <c r="K119" s="505"/>
      <c r="L119" s="505"/>
      <c r="M119" s="505"/>
      <c r="N119" s="505"/>
      <c r="O119" s="505"/>
      <c r="P119" s="505"/>
      <c r="Q119" s="505"/>
      <c r="R119" s="505"/>
      <c r="S119" s="505"/>
      <c r="T119" s="505"/>
      <c r="U119" s="505"/>
      <c r="V119" s="505"/>
      <c r="W119" s="505"/>
      <c r="X119" s="505"/>
      <c r="Y119" s="505"/>
      <c r="Z119" s="505"/>
      <c r="AA119" s="505"/>
      <c r="AB119" s="505"/>
      <c r="AC119" s="505"/>
      <c r="AD119" s="505"/>
      <c r="AE119" s="505"/>
      <c r="AF119" s="505"/>
      <c r="AG119" s="505"/>
      <c r="AH119" s="505"/>
      <c r="AI119" s="505"/>
      <c r="AJ119" s="505"/>
      <c r="AK119" s="505"/>
      <c r="AL119" s="505"/>
      <c r="AM119" s="505"/>
      <c r="AN119" s="505"/>
      <c r="AO119" s="505"/>
      <c r="AP119" s="505"/>
      <c r="AQ119" s="505"/>
      <c r="AR119" s="505"/>
      <c r="AS119" s="505"/>
      <c r="AT119" s="505"/>
      <c r="AU119" s="505"/>
      <c r="AV119" s="505"/>
      <c r="AW119" s="505"/>
      <c r="AX119" s="505"/>
    </row>
    <row r="120" spans="1:256" ht="13.5" customHeight="1">
      <c r="A120" s="969" t="s">
        <v>88</v>
      </c>
      <c r="B120" s="970"/>
      <c r="C120" s="971"/>
      <c r="D120" s="972" t="s">
        <v>455</v>
      </c>
      <c r="E120" s="973"/>
      <c r="F120" s="974"/>
      <c r="G120" s="975"/>
      <c r="H120" s="976">
        <f>H118</f>
        <v>0</v>
      </c>
      <c r="J120" s="505"/>
      <c r="K120" s="505"/>
      <c r="L120" s="505"/>
      <c r="M120" s="505"/>
      <c r="N120" s="505"/>
      <c r="O120" s="505"/>
      <c r="P120" s="505"/>
      <c r="Q120" s="505"/>
      <c r="R120" s="505"/>
      <c r="S120" s="505"/>
      <c r="T120" s="505"/>
      <c r="U120" s="505"/>
      <c r="V120" s="505"/>
      <c r="W120" s="505"/>
      <c r="X120" s="505"/>
      <c r="Y120" s="505"/>
      <c r="Z120" s="505"/>
      <c r="AA120" s="505"/>
      <c r="AB120" s="505"/>
      <c r="AC120" s="505"/>
      <c r="AD120" s="505"/>
      <c r="AE120" s="505"/>
      <c r="AF120" s="505"/>
      <c r="AG120" s="505"/>
      <c r="AH120" s="505"/>
      <c r="AI120" s="505"/>
      <c r="AJ120" s="505"/>
      <c r="AK120" s="505"/>
      <c r="AL120" s="505"/>
      <c r="AM120" s="505"/>
      <c r="AN120" s="505"/>
      <c r="AO120" s="505"/>
      <c r="AP120" s="505"/>
      <c r="AQ120" s="505"/>
      <c r="AR120" s="505"/>
      <c r="AS120" s="505"/>
      <c r="AT120" s="505"/>
      <c r="AU120" s="505"/>
      <c r="AV120" s="505"/>
      <c r="AW120" s="505"/>
      <c r="AX120" s="505"/>
    </row>
    <row r="121" spans="1:256" ht="13.5" customHeight="1">
      <c r="A121" s="977"/>
      <c r="B121" s="978"/>
      <c r="C121" s="978"/>
      <c r="D121" s="979"/>
      <c r="E121" s="980"/>
      <c r="F121" s="981"/>
      <c r="G121" s="982"/>
      <c r="H121" s="983"/>
      <c r="J121" s="946"/>
      <c r="K121" s="946"/>
      <c r="L121" s="946"/>
      <c r="M121" s="946"/>
      <c r="N121" s="946"/>
      <c r="O121" s="946"/>
      <c r="P121" s="946"/>
      <c r="Q121" s="946"/>
      <c r="R121" s="946"/>
      <c r="S121" s="946"/>
      <c r="T121" s="946"/>
      <c r="U121" s="946"/>
      <c r="V121" s="946"/>
      <c r="W121" s="946"/>
      <c r="X121" s="946"/>
      <c r="Y121" s="946"/>
      <c r="Z121" s="946"/>
      <c r="AA121" s="946"/>
      <c r="AB121" s="946"/>
      <c r="AC121" s="946"/>
      <c r="AD121" s="946"/>
      <c r="AE121" s="946"/>
      <c r="AF121" s="946"/>
      <c r="AG121" s="946"/>
      <c r="AH121" s="946"/>
      <c r="AI121" s="946"/>
      <c r="AJ121" s="946"/>
      <c r="AK121" s="946"/>
      <c r="AL121" s="946"/>
      <c r="AM121" s="946"/>
      <c r="AN121" s="946"/>
      <c r="AO121" s="946"/>
      <c r="AP121" s="946"/>
      <c r="AQ121" s="946"/>
      <c r="AR121" s="946"/>
      <c r="AS121" s="946"/>
      <c r="AT121" s="946"/>
      <c r="AU121" s="946"/>
      <c r="AV121" s="946"/>
      <c r="AW121" s="946"/>
      <c r="AX121" s="946"/>
    </row>
    <row r="122" spans="1:256" s="307" customFormat="1" ht="15">
      <c r="A122" s="307" t="s">
        <v>22</v>
      </c>
      <c r="J122" s="946"/>
      <c r="K122" s="946"/>
      <c r="L122" s="946"/>
      <c r="M122" s="946"/>
      <c r="N122" s="946"/>
      <c r="O122" s="946"/>
      <c r="P122" s="946"/>
      <c r="Q122" s="946"/>
      <c r="R122" s="946"/>
      <c r="S122" s="946"/>
      <c r="T122" s="946"/>
      <c r="U122" s="946"/>
      <c r="V122" s="946"/>
      <c r="W122" s="946"/>
      <c r="X122" s="946"/>
      <c r="Y122" s="946"/>
      <c r="Z122" s="946"/>
      <c r="AA122" s="946"/>
      <c r="AB122" s="946"/>
      <c r="AC122" s="946"/>
      <c r="AD122" s="946"/>
      <c r="AE122" s="946"/>
      <c r="AF122" s="946"/>
      <c r="AG122" s="946"/>
      <c r="AH122" s="946"/>
      <c r="AI122" s="946"/>
      <c r="AJ122" s="946"/>
      <c r="AK122" s="946"/>
      <c r="AL122" s="946"/>
      <c r="AM122" s="946"/>
      <c r="AN122" s="946"/>
      <c r="AO122" s="946"/>
      <c r="AP122" s="946"/>
      <c r="AQ122" s="946"/>
      <c r="AR122" s="946"/>
      <c r="AS122" s="946"/>
      <c r="AT122" s="946"/>
      <c r="AU122" s="946"/>
      <c r="AV122" s="946"/>
      <c r="AW122" s="946"/>
      <c r="AX122" s="946"/>
      <c r="AY122" s="69"/>
      <c r="AZ122" s="69"/>
      <c r="BA122" s="69"/>
      <c r="BB122" s="69"/>
      <c r="BC122" s="69"/>
      <c r="BD122" s="69"/>
      <c r="BE122" s="69"/>
      <c r="BF122" s="69"/>
      <c r="BG122" s="69"/>
      <c r="BH122" s="69"/>
      <c r="BI122" s="69"/>
    </row>
    <row r="123" spans="1:256" s="307" customFormat="1" ht="23.45" customHeight="1">
      <c r="A123" s="727" t="s">
        <v>89</v>
      </c>
      <c r="B123" s="728"/>
      <c r="C123" s="728"/>
      <c r="D123" s="728"/>
      <c r="E123" s="728"/>
      <c r="F123" s="728"/>
      <c r="G123" s="728"/>
      <c r="J123" s="948"/>
      <c r="K123" s="950"/>
      <c r="L123" s="951"/>
      <c r="M123" s="951"/>
      <c r="N123" s="951"/>
      <c r="O123" s="951"/>
      <c r="P123" s="949"/>
      <c r="Q123" s="951"/>
      <c r="R123" s="951"/>
      <c r="S123" s="505"/>
      <c r="T123" s="505"/>
      <c r="U123" s="505"/>
      <c r="V123" s="505"/>
      <c r="W123" s="505"/>
      <c r="X123" s="505"/>
      <c r="Y123" s="505"/>
      <c r="Z123" s="505"/>
      <c r="AA123" s="505"/>
      <c r="AB123" s="505"/>
      <c r="AC123" s="505"/>
      <c r="AD123" s="505"/>
      <c r="AE123" s="505"/>
      <c r="AF123" s="505"/>
      <c r="AG123" s="505"/>
      <c r="AH123" s="505"/>
      <c r="AI123" s="505"/>
      <c r="AJ123" s="505"/>
      <c r="AK123" s="505"/>
      <c r="AL123" s="505"/>
      <c r="AM123" s="505"/>
      <c r="AN123" s="505"/>
      <c r="AO123" s="505"/>
      <c r="AP123" s="505"/>
      <c r="AQ123" s="505"/>
      <c r="AR123" s="505"/>
      <c r="AS123" s="505"/>
      <c r="AT123" s="505"/>
      <c r="AU123" s="505"/>
      <c r="AV123" s="505"/>
      <c r="AW123" s="505"/>
      <c r="AX123" s="505"/>
      <c r="AY123" s="69"/>
      <c r="AZ123" s="69"/>
      <c r="BA123" s="69"/>
      <c r="BB123" s="69"/>
      <c r="BC123" s="69"/>
      <c r="BD123" s="69"/>
      <c r="BE123" s="69"/>
      <c r="BF123" s="69"/>
      <c r="BG123" s="69"/>
      <c r="BH123" s="69"/>
      <c r="BI123" s="69"/>
    </row>
    <row r="124" spans="1:256" s="307" customFormat="1" ht="93.75" customHeight="1">
      <c r="A124" s="727" t="s">
        <v>90</v>
      </c>
      <c r="B124" s="729"/>
      <c r="C124" s="729"/>
      <c r="D124" s="729"/>
      <c r="E124" s="729"/>
      <c r="F124" s="729"/>
      <c r="G124" s="729"/>
      <c r="J124" s="952"/>
      <c r="K124" s="505"/>
      <c r="L124" s="685"/>
      <c r="M124" s="505"/>
      <c r="N124" s="505"/>
      <c r="O124" s="505"/>
      <c r="P124" s="505"/>
      <c r="Q124" s="505"/>
      <c r="R124" s="505"/>
      <c r="S124" s="505"/>
      <c r="T124" s="505"/>
      <c r="U124" s="505"/>
      <c r="V124" s="505"/>
      <c r="W124" s="505"/>
      <c r="X124" s="505"/>
      <c r="Y124" s="505"/>
      <c r="Z124" s="505"/>
      <c r="AA124" s="505"/>
      <c r="AB124" s="505"/>
      <c r="AC124" s="505"/>
      <c r="AD124" s="505"/>
      <c r="AE124" s="505"/>
      <c r="AF124" s="505"/>
      <c r="AG124" s="505"/>
      <c r="AH124" s="505"/>
      <c r="AI124" s="505"/>
      <c r="AJ124" s="505"/>
      <c r="AK124" s="505"/>
      <c r="AL124" s="505"/>
      <c r="AM124" s="505"/>
      <c r="AN124" s="505"/>
      <c r="AO124" s="505"/>
      <c r="AP124" s="505"/>
      <c r="AQ124" s="505"/>
      <c r="AR124" s="505"/>
      <c r="AS124" s="505"/>
      <c r="AT124" s="505"/>
      <c r="AU124" s="505"/>
      <c r="AV124" s="505"/>
      <c r="AW124" s="505"/>
      <c r="AX124" s="505"/>
      <c r="AY124" s="69"/>
      <c r="AZ124" s="69"/>
      <c r="BA124" s="69"/>
      <c r="BB124" s="69"/>
      <c r="BC124" s="69"/>
      <c r="BD124" s="69"/>
      <c r="BE124" s="69"/>
      <c r="BF124" s="69"/>
      <c r="BG124" s="69"/>
      <c r="BH124" s="69"/>
      <c r="BI124" s="69"/>
    </row>
    <row r="125" spans="1:256" s="496" customFormat="1" ht="13.5" customHeight="1">
      <c r="A125" s="727" t="s">
        <v>69</v>
      </c>
      <c r="B125" s="728"/>
      <c r="C125" s="728"/>
      <c r="D125" s="728"/>
      <c r="E125" s="728"/>
      <c r="F125" s="728"/>
      <c r="G125" s="728"/>
      <c r="H125" s="730"/>
      <c r="I125" s="730"/>
      <c r="J125" s="857"/>
      <c r="K125" s="857"/>
      <c r="L125" s="857"/>
      <c r="M125" s="857"/>
      <c r="N125" s="857"/>
      <c r="O125" s="857"/>
      <c r="P125" s="857"/>
      <c r="Q125" s="857"/>
      <c r="R125" s="513"/>
      <c r="S125" s="513"/>
      <c r="T125" s="513"/>
      <c r="U125" s="513"/>
      <c r="V125" s="513"/>
      <c r="W125" s="513"/>
      <c r="X125" s="513"/>
      <c r="Y125" s="513"/>
      <c r="Z125" s="513"/>
      <c r="AA125" s="513"/>
      <c r="AB125" s="513"/>
      <c r="AC125" s="513"/>
      <c r="AD125" s="513"/>
      <c r="AE125" s="513"/>
      <c r="AF125" s="513"/>
      <c r="AG125" s="513"/>
      <c r="AH125" s="513"/>
      <c r="AI125" s="513"/>
      <c r="AJ125" s="513"/>
      <c r="AK125" s="513"/>
      <c r="AL125" s="513"/>
      <c r="AM125" s="513"/>
      <c r="AN125" s="513"/>
      <c r="AO125" s="513"/>
      <c r="AP125" s="513"/>
      <c r="AQ125" s="513"/>
      <c r="AR125" s="513"/>
      <c r="AS125" s="513"/>
      <c r="AT125" s="513"/>
      <c r="AU125" s="513"/>
      <c r="AV125" s="513"/>
      <c r="AW125" s="513"/>
      <c r="AX125" s="513"/>
      <c r="AY125" s="495"/>
      <c r="AZ125" s="495"/>
      <c r="BA125" s="495"/>
      <c r="BB125" s="495"/>
      <c r="BC125" s="495"/>
      <c r="BD125" s="495"/>
      <c r="BE125" s="495"/>
      <c r="BF125" s="495"/>
      <c r="BG125" s="495"/>
      <c r="BH125" s="495"/>
      <c r="BI125" s="495"/>
    </row>
    <row r="126" spans="1:256" s="496" customFormat="1" ht="13.5" customHeight="1">
      <c r="A126" s="727" t="s">
        <v>70</v>
      </c>
      <c r="B126" s="728"/>
      <c r="C126" s="728"/>
      <c r="D126" s="728"/>
      <c r="E126" s="728"/>
      <c r="F126" s="728"/>
      <c r="G126" s="728"/>
      <c r="H126" s="730"/>
      <c r="I126" s="730"/>
      <c r="J126" s="661"/>
      <c r="K126" s="661"/>
      <c r="L126" s="661"/>
      <c r="M126" s="661"/>
      <c r="N126" s="661"/>
      <c r="O126" s="661"/>
      <c r="P126" s="661"/>
      <c r="Q126" s="661"/>
      <c r="R126" s="505"/>
      <c r="S126" s="505"/>
      <c r="T126" s="505"/>
      <c r="U126" s="949"/>
      <c r="V126" s="505"/>
      <c r="W126" s="505"/>
      <c r="X126" s="505"/>
      <c r="Y126" s="505"/>
      <c r="Z126" s="505"/>
      <c r="AA126" s="505"/>
      <c r="AB126" s="505"/>
      <c r="AC126" s="505"/>
      <c r="AD126" s="505"/>
      <c r="AE126" s="505"/>
      <c r="AF126" s="505"/>
      <c r="AG126" s="505"/>
      <c r="AH126" s="505"/>
      <c r="AI126" s="505"/>
      <c r="AJ126" s="505"/>
      <c r="AK126" s="505"/>
      <c r="AL126" s="505"/>
      <c r="AM126" s="505"/>
      <c r="AN126" s="505"/>
      <c r="AO126" s="505"/>
      <c r="AP126" s="505"/>
      <c r="AQ126" s="505"/>
      <c r="AR126" s="505"/>
      <c r="AS126" s="505"/>
      <c r="AT126" s="505"/>
      <c r="AU126" s="505"/>
      <c r="AV126" s="505"/>
      <c r="AW126" s="505"/>
      <c r="AX126" s="505"/>
      <c r="AY126" s="495"/>
      <c r="AZ126" s="495"/>
      <c r="BA126" s="495"/>
      <c r="BB126" s="495"/>
      <c r="BC126" s="495"/>
      <c r="BD126" s="495"/>
      <c r="BE126" s="495"/>
      <c r="BF126" s="495"/>
      <c r="BG126" s="495"/>
      <c r="BH126" s="495"/>
      <c r="BI126" s="495"/>
    </row>
    <row r="127" spans="1:256" s="496" customFormat="1" ht="47.25" customHeight="1">
      <c r="A127" s="497" t="s">
        <v>729</v>
      </c>
      <c r="B127" s="497"/>
      <c r="C127" s="497"/>
      <c r="D127" s="497"/>
      <c r="E127" s="497"/>
      <c r="F127" s="497"/>
      <c r="G127" s="497"/>
      <c r="H127" s="730"/>
      <c r="I127" s="730"/>
      <c r="J127" s="952"/>
      <c r="K127" s="505"/>
      <c r="L127" s="685"/>
      <c r="M127" s="505"/>
      <c r="N127" s="505"/>
      <c r="O127" s="505"/>
      <c r="P127" s="505"/>
      <c r="Q127" s="505"/>
      <c r="R127" s="505"/>
      <c r="S127" s="505"/>
      <c r="T127" s="505"/>
      <c r="U127" s="505"/>
      <c r="V127" s="505"/>
      <c r="W127" s="505"/>
      <c r="X127" s="505"/>
      <c r="Y127" s="505"/>
      <c r="Z127" s="505"/>
      <c r="AA127" s="505"/>
      <c r="AB127" s="505"/>
      <c r="AC127" s="505"/>
      <c r="AD127" s="505"/>
      <c r="AE127" s="505"/>
      <c r="AF127" s="505"/>
      <c r="AG127" s="505"/>
      <c r="AH127" s="505"/>
      <c r="AI127" s="505"/>
      <c r="AJ127" s="505"/>
      <c r="AK127" s="505"/>
      <c r="AL127" s="505"/>
      <c r="AM127" s="505"/>
      <c r="AN127" s="505"/>
      <c r="AO127" s="505"/>
      <c r="AP127" s="505"/>
      <c r="AQ127" s="505"/>
      <c r="AR127" s="505"/>
      <c r="AS127" s="505"/>
      <c r="AT127" s="505"/>
      <c r="AU127" s="505"/>
      <c r="AV127" s="505"/>
      <c r="AW127" s="505"/>
      <c r="AX127" s="505"/>
      <c r="AY127" s="495"/>
      <c r="AZ127" s="495"/>
      <c r="BA127" s="495"/>
      <c r="BB127" s="495"/>
      <c r="BC127" s="495"/>
      <c r="BD127" s="495"/>
      <c r="BE127" s="495"/>
      <c r="BF127" s="495"/>
      <c r="BG127" s="495"/>
      <c r="BH127" s="495"/>
      <c r="BI127" s="495"/>
    </row>
    <row r="128" spans="1:256" ht="12" customHeight="1">
      <c r="J128" s="857"/>
      <c r="K128" s="857"/>
      <c r="L128" s="857"/>
      <c r="M128" s="857"/>
      <c r="N128" s="857"/>
      <c r="O128" s="857"/>
      <c r="P128" s="857"/>
      <c r="Q128" s="857"/>
      <c r="R128" s="513"/>
      <c r="S128" s="513"/>
      <c r="T128" s="513"/>
      <c r="U128" s="513"/>
      <c r="V128" s="513"/>
      <c r="W128" s="513"/>
      <c r="X128" s="513"/>
      <c r="Y128" s="513"/>
      <c r="Z128" s="513"/>
      <c r="AA128" s="513"/>
      <c r="AB128" s="513"/>
      <c r="AC128" s="513"/>
      <c r="AD128" s="513"/>
      <c r="AE128" s="513"/>
      <c r="AF128" s="513"/>
      <c r="AG128" s="513"/>
      <c r="AH128" s="513"/>
      <c r="AI128" s="513"/>
      <c r="AJ128" s="513"/>
      <c r="AK128" s="513"/>
      <c r="AL128" s="513"/>
      <c r="AM128" s="513"/>
      <c r="AN128" s="513"/>
      <c r="AO128" s="513"/>
      <c r="AP128" s="513"/>
      <c r="AQ128" s="513"/>
      <c r="AR128" s="513"/>
      <c r="AS128" s="513"/>
      <c r="AT128" s="513"/>
      <c r="AU128" s="513"/>
      <c r="AV128" s="513"/>
      <c r="AW128" s="513"/>
      <c r="AX128" s="513"/>
    </row>
    <row r="129" spans="10:50" ht="12" customHeight="1">
      <c r="J129" s="661"/>
      <c r="K129" s="661"/>
      <c r="L129" s="661"/>
      <c r="M129" s="661"/>
      <c r="N129" s="661"/>
      <c r="O129" s="661"/>
      <c r="P129" s="661"/>
      <c r="Q129" s="661"/>
      <c r="R129" s="505"/>
      <c r="S129" s="505"/>
      <c r="T129" s="949"/>
      <c r="U129" s="505"/>
      <c r="V129" s="505"/>
      <c r="W129" s="505"/>
      <c r="X129" s="505"/>
      <c r="Y129" s="505"/>
      <c r="Z129" s="505"/>
      <c r="AA129" s="505"/>
      <c r="AB129" s="505"/>
      <c r="AC129" s="505"/>
      <c r="AD129" s="505"/>
      <c r="AE129" s="505"/>
      <c r="AF129" s="505"/>
      <c r="AG129" s="505"/>
      <c r="AH129" s="505"/>
      <c r="AI129" s="505"/>
      <c r="AJ129" s="505"/>
      <c r="AK129" s="505"/>
      <c r="AL129" s="505"/>
      <c r="AM129" s="505"/>
      <c r="AN129" s="505"/>
      <c r="AO129" s="505"/>
      <c r="AP129" s="505"/>
      <c r="AQ129" s="505"/>
      <c r="AR129" s="505"/>
      <c r="AS129" s="505"/>
      <c r="AT129" s="505"/>
      <c r="AU129" s="505"/>
      <c r="AV129" s="505"/>
      <c r="AW129" s="505"/>
      <c r="AX129" s="505"/>
    </row>
    <row r="130" spans="10:50" ht="12" customHeight="1">
      <c r="J130" s="952"/>
      <c r="K130" s="505"/>
      <c r="L130" s="505"/>
      <c r="M130" s="505"/>
      <c r="N130" s="505"/>
      <c r="O130" s="505"/>
      <c r="P130" s="505"/>
      <c r="Q130" s="505"/>
      <c r="R130" s="505"/>
      <c r="S130" s="505"/>
      <c r="T130" s="949"/>
      <c r="U130" s="505"/>
      <c r="V130" s="505"/>
      <c r="W130" s="505"/>
      <c r="X130" s="505"/>
      <c r="Y130" s="505"/>
      <c r="Z130" s="505"/>
      <c r="AA130" s="505"/>
      <c r="AB130" s="505"/>
      <c r="AC130" s="505"/>
      <c r="AD130" s="505"/>
      <c r="AE130" s="505"/>
      <c r="AF130" s="505"/>
      <c r="AG130" s="505"/>
      <c r="AH130" s="505"/>
      <c r="AI130" s="505"/>
      <c r="AJ130" s="505"/>
      <c r="AK130" s="505"/>
      <c r="AL130" s="505"/>
      <c r="AM130" s="505"/>
      <c r="AN130" s="505"/>
      <c r="AO130" s="505"/>
      <c r="AP130" s="505"/>
      <c r="AQ130" s="505"/>
      <c r="AR130" s="505"/>
      <c r="AS130" s="505"/>
      <c r="AT130" s="505"/>
      <c r="AU130" s="505"/>
      <c r="AV130" s="505"/>
      <c r="AW130" s="505"/>
      <c r="AX130" s="505"/>
    </row>
    <row r="131" spans="10:50" ht="12" customHeight="1">
      <c r="J131" s="857"/>
      <c r="K131" s="857"/>
      <c r="L131" s="857"/>
      <c r="M131" s="685"/>
      <c r="N131" s="857"/>
      <c r="O131" s="857"/>
      <c r="P131" s="857"/>
      <c r="Q131" s="857"/>
      <c r="R131" s="513"/>
      <c r="S131" s="513"/>
      <c r="T131" s="513"/>
      <c r="U131" s="513"/>
      <c r="V131" s="513"/>
      <c r="W131" s="513"/>
      <c r="X131" s="513"/>
      <c r="Y131" s="513"/>
      <c r="Z131" s="513"/>
      <c r="AA131" s="513"/>
      <c r="AB131" s="513"/>
      <c r="AC131" s="513"/>
      <c r="AD131" s="513"/>
      <c r="AE131" s="513"/>
      <c r="AF131" s="513"/>
      <c r="AG131" s="513"/>
      <c r="AH131" s="513"/>
      <c r="AI131" s="513"/>
      <c r="AJ131" s="513"/>
      <c r="AK131" s="513"/>
      <c r="AL131" s="513"/>
      <c r="AM131" s="513"/>
      <c r="AN131" s="513"/>
      <c r="AO131" s="513"/>
      <c r="AP131" s="513"/>
      <c r="AQ131" s="513"/>
      <c r="AR131" s="513"/>
      <c r="AS131" s="513"/>
      <c r="AT131" s="513"/>
      <c r="AU131" s="513"/>
      <c r="AV131" s="513"/>
      <c r="AW131" s="513"/>
      <c r="AX131" s="513"/>
    </row>
    <row r="132" spans="10:50" ht="12" customHeight="1">
      <c r="J132" s="661"/>
      <c r="K132" s="661"/>
      <c r="L132" s="661"/>
      <c r="M132" s="661"/>
      <c r="N132" s="661"/>
      <c r="O132" s="661"/>
      <c r="P132" s="661"/>
      <c r="Q132" s="661"/>
      <c r="R132" s="505"/>
      <c r="S132" s="505"/>
      <c r="T132" s="949"/>
      <c r="U132" s="505"/>
      <c r="V132" s="505"/>
      <c r="W132" s="505"/>
      <c r="X132" s="505"/>
      <c r="Y132" s="505"/>
      <c r="Z132" s="505"/>
      <c r="AA132" s="505"/>
      <c r="AB132" s="505"/>
      <c r="AC132" s="505"/>
      <c r="AD132" s="505"/>
      <c r="AE132" s="505"/>
      <c r="AF132" s="505"/>
      <c r="AG132" s="505"/>
      <c r="AH132" s="505"/>
      <c r="AI132" s="505"/>
      <c r="AJ132" s="505"/>
      <c r="AK132" s="505"/>
      <c r="AL132" s="505"/>
      <c r="AM132" s="505"/>
      <c r="AN132" s="505"/>
      <c r="AO132" s="505"/>
      <c r="AP132" s="505"/>
      <c r="AQ132" s="505"/>
      <c r="AR132" s="505"/>
      <c r="AS132" s="505"/>
      <c r="AT132" s="505"/>
      <c r="AU132" s="505"/>
      <c r="AV132" s="505"/>
      <c r="AW132" s="505"/>
      <c r="AX132" s="505"/>
    </row>
    <row r="133" spans="10:50" ht="12" customHeight="1">
      <c r="J133" s="952"/>
      <c r="K133" s="505"/>
      <c r="L133" s="505"/>
      <c r="M133" s="505"/>
      <c r="N133" s="505"/>
      <c r="O133" s="505"/>
      <c r="P133" s="505"/>
      <c r="Q133" s="505"/>
      <c r="R133" s="505"/>
      <c r="S133" s="505"/>
      <c r="T133" s="949"/>
      <c r="U133" s="505"/>
      <c r="V133" s="505"/>
      <c r="W133" s="505"/>
      <c r="X133" s="505"/>
      <c r="Y133" s="505"/>
      <c r="Z133" s="505"/>
      <c r="AA133" s="505"/>
      <c r="AB133" s="505"/>
      <c r="AC133" s="505"/>
      <c r="AD133" s="505"/>
      <c r="AE133" s="505"/>
      <c r="AF133" s="505"/>
      <c r="AG133" s="505"/>
      <c r="AH133" s="505"/>
      <c r="AI133" s="505"/>
      <c r="AJ133" s="505"/>
      <c r="AK133" s="505"/>
      <c r="AL133" s="505"/>
      <c r="AM133" s="505"/>
      <c r="AN133" s="505"/>
      <c r="AO133" s="505"/>
      <c r="AP133" s="505"/>
      <c r="AQ133" s="505"/>
      <c r="AR133" s="505"/>
      <c r="AS133" s="505"/>
      <c r="AT133" s="505"/>
      <c r="AU133" s="505"/>
      <c r="AV133" s="505"/>
      <c r="AW133" s="505"/>
      <c r="AX133" s="505"/>
    </row>
    <row r="134" spans="10:50" ht="12" customHeight="1">
      <c r="J134" s="857"/>
      <c r="K134" s="857"/>
      <c r="L134" s="857"/>
      <c r="M134" s="685"/>
      <c r="N134" s="857"/>
      <c r="O134" s="857"/>
      <c r="P134" s="857"/>
      <c r="Q134" s="857"/>
      <c r="R134" s="513"/>
      <c r="S134" s="513"/>
      <c r="T134" s="513"/>
      <c r="U134" s="513"/>
      <c r="V134" s="513"/>
      <c r="W134" s="513"/>
      <c r="X134" s="513"/>
      <c r="Y134" s="513"/>
      <c r="Z134" s="513"/>
      <c r="AA134" s="513"/>
      <c r="AB134" s="513"/>
      <c r="AC134" s="513"/>
      <c r="AD134" s="513"/>
      <c r="AE134" s="513"/>
      <c r="AF134" s="513"/>
      <c r="AG134" s="513"/>
      <c r="AH134" s="513"/>
      <c r="AI134" s="513"/>
      <c r="AJ134" s="513"/>
      <c r="AK134" s="513"/>
      <c r="AL134" s="513"/>
      <c r="AM134" s="513"/>
      <c r="AN134" s="513"/>
      <c r="AO134" s="513"/>
      <c r="AP134" s="513"/>
      <c r="AQ134" s="513"/>
      <c r="AR134" s="513"/>
      <c r="AS134" s="513"/>
      <c r="AT134" s="513"/>
      <c r="AU134" s="513"/>
      <c r="AV134" s="513"/>
      <c r="AW134" s="513"/>
      <c r="AX134" s="513"/>
    </row>
    <row r="135" spans="10:50" ht="12" customHeight="1">
      <c r="J135" s="948"/>
      <c r="K135" s="950"/>
      <c r="L135" s="951"/>
      <c r="M135" s="951"/>
      <c r="N135" s="951"/>
      <c r="O135" s="951"/>
      <c r="P135" s="949"/>
      <c r="Q135" s="951"/>
      <c r="R135" s="951"/>
      <c r="S135" s="505"/>
      <c r="T135" s="505"/>
      <c r="U135" s="505"/>
      <c r="V135" s="505"/>
      <c r="W135" s="505"/>
      <c r="X135" s="505"/>
      <c r="Y135" s="505"/>
      <c r="Z135" s="505"/>
      <c r="AA135" s="505"/>
      <c r="AB135" s="505"/>
      <c r="AC135" s="505"/>
      <c r="AD135" s="505"/>
      <c r="AE135" s="505"/>
      <c r="AF135" s="505"/>
      <c r="AG135" s="505"/>
      <c r="AH135" s="505"/>
      <c r="AI135" s="505"/>
      <c r="AJ135" s="505"/>
      <c r="AK135" s="505"/>
      <c r="AL135" s="505"/>
      <c r="AM135" s="505"/>
      <c r="AN135" s="505"/>
      <c r="AO135" s="505"/>
      <c r="AP135" s="505"/>
      <c r="AQ135" s="505"/>
      <c r="AR135" s="505"/>
      <c r="AS135" s="505"/>
      <c r="AT135" s="505"/>
      <c r="AU135" s="505"/>
      <c r="AV135" s="505"/>
      <c r="AW135" s="505"/>
      <c r="AX135" s="505"/>
    </row>
    <row r="136" spans="10:50" ht="12" customHeight="1">
      <c r="J136" s="952"/>
      <c r="K136" s="505"/>
      <c r="L136" s="685"/>
      <c r="M136" s="505"/>
      <c r="N136" s="505"/>
      <c r="O136" s="505"/>
      <c r="P136" s="505"/>
      <c r="Q136" s="505"/>
      <c r="R136" s="505"/>
      <c r="S136" s="505"/>
      <c r="T136" s="505"/>
      <c r="U136" s="505"/>
      <c r="V136" s="505"/>
      <c r="W136" s="505"/>
      <c r="X136" s="505"/>
      <c r="Y136" s="505"/>
      <c r="Z136" s="505"/>
      <c r="AA136" s="505"/>
      <c r="AB136" s="505"/>
      <c r="AC136" s="505"/>
      <c r="AD136" s="505"/>
      <c r="AE136" s="505"/>
      <c r="AF136" s="505"/>
      <c r="AG136" s="505"/>
      <c r="AH136" s="505"/>
      <c r="AI136" s="505"/>
      <c r="AJ136" s="505"/>
      <c r="AK136" s="505"/>
      <c r="AL136" s="505"/>
      <c r="AM136" s="505"/>
      <c r="AN136" s="505"/>
      <c r="AO136" s="505"/>
      <c r="AP136" s="505"/>
      <c r="AQ136" s="505"/>
      <c r="AR136" s="505"/>
      <c r="AS136" s="505"/>
      <c r="AT136" s="505"/>
      <c r="AU136" s="505"/>
      <c r="AV136" s="505"/>
      <c r="AW136" s="505"/>
      <c r="AX136" s="505"/>
    </row>
    <row r="137" spans="10:50" ht="12" customHeight="1">
      <c r="J137" s="952"/>
      <c r="K137" s="505"/>
      <c r="L137" s="685"/>
      <c r="M137" s="505"/>
      <c r="N137" s="505"/>
      <c r="O137" s="505"/>
      <c r="P137" s="505"/>
      <c r="Q137" s="505"/>
      <c r="R137" s="505"/>
      <c r="S137" s="505"/>
      <c r="T137" s="505"/>
      <c r="U137" s="505"/>
      <c r="V137" s="505"/>
      <c r="W137" s="505"/>
      <c r="X137" s="505"/>
      <c r="Y137" s="505"/>
      <c r="Z137" s="505"/>
      <c r="AA137" s="505"/>
      <c r="AB137" s="505"/>
      <c r="AC137" s="505"/>
      <c r="AD137" s="505"/>
      <c r="AE137" s="505"/>
      <c r="AF137" s="505"/>
      <c r="AG137" s="505"/>
      <c r="AH137" s="505"/>
      <c r="AI137" s="505"/>
      <c r="AJ137" s="505"/>
      <c r="AK137" s="505"/>
      <c r="AL137" s="505"/>
      <c r="AM137" s="505"/>
      <c r="AN137" s="505"/>
      <c r="AO137" s="505"/>
      <c r="AP137" s="505"/>
      <c r="AQ137" s="505"/>
      <c r="AR137" s="505"/>
      <c r="AS137" s="505"/>
      <c r="AT137" s="505"/>
      <c r="AU137" s="505"/>
      <c r="AV137" s="505"/>
      <c r="AW137" s="505"/>
      <c r="AX137" s="505"/>
    </row>
    <row r="138" spans="10:50" ht="12" customHeight="1">
      <c r="J138" s="857"/>
      <c r="K138" s="857"/>
      <c r="L138" s="857"/>
      <c r="M138" s="857"/>
      <c r="N138" s="857"/>
      <c r="O138" s="857"/>
      <c r="P138" s="857"/>
      <c r="Q138" s="857"/>
      <c r="R138" s="513"/>
      <c r="S138" s="513"/>
      <c r="T138" s="513"/>
      <c r="U138" s="513"/>
      <c r="V138" s="513"/>
      <c r="W138" s="513"/>
      <c r="X138" s="513"/>
      <c r="Y138" s="513"/>
      <c r="Z138" s="513"/>
      <c r="AA138" s="513"/>
      <c r="AB138" s="513"/>
      <c r="AC138" s="513"/>
      <c r="AD138" s="513"/>
      <c r="AE138" s="513"/>
      <c r="AF138" s="513"/>
      <c r="AG138" s="513"/>
      <c r="AH138" s="513"/>
      <c r="AI138" s="513"/>
      <c r="AJ138" s="513"/>
      <c r="AK138" s="513"/>
      <c r="AL138" s="513"/>
      <c r="AM138" s="513"/>
      <c r="AN138" s="513"/>
      <c r="AO138" s="513"/>
      <c r="AP138" s="513"/>
      <c r="AQ138" s="513"/>
      <c r="AR138" s="513"/>
      <c r="AS138" s="513"/>
      <c r="AT138" s="513"/>
      <c r="AU138" s="513"/>
      <c r="AV138" s="513"/>
      <c r="AW138" s="513"/>
      <c r="AX138" s="513"/>
    </row>
    <row r="139" spans="10:50" ht="12" customHeight="1">
      <c r="J139" s="984"/>
      <c r="K139" s="505"/>
      <c r="L139" s="825"/>
      <c r="M139" s="26"/>
      <c r="N139" s="26"/>
      <c r="O139" s="26"/>
      <c r="P139" s="26"/>
      <c r="Q139" s="26"/>
      <c r="R139" s="26"/>
      <c r="S139" s="505"/>
      <c r="T139" s="505"/>
      <c r="U139" s="505"/>
      <c r="V139" s="505"/>
      <c r="W139" s="505"/>
      <c r="X139" s="505"/>
      <c r="Y139" s="505"/>
      <c r="Z139" s="505"/>
      <c r="AA139" s="505"/>
      <c r="AB139" s="505"/>
      <c r="AC139" s="505"/>
      <c r="AD139" s="505"/>
      <c r="AE139" s="505"/>
      <c r="AF139" s="505"/>
      <c r="AG139" s="505"/>
      <c r="AH139" s="505"/>
      <c r="AI139" s="505"/>
      <c r="AJ139" s="505"/>
      <c r="AK139" s="505"/>
      <c r="AL139" s="505"/>
      <c r="AM139" s="505"/>
      <c r="AN139" s="505"/>
      <c r="AO139" s="505"/>
      <c r="AP139" s="505"/>
      <c r="AQ139" s="505"/>
      <c r="AR139" s="505"/>
      <c r="AS139" s="505"/>
      <c r="AT139" s="505"/>
      <c r="AU139" s="505"/>
      <c r="AV139" s="505"/>
      <c r="AW139" s="505"/>
      <c r="AX139" s="505"/>
    </row>
    <row r="140" spans="10:50" ht="12" customHeight="1">
      <c r="J140" s="952"/>
      <c r="K140" s="505"/>
      <c r="L140" s="685"/>
      <c r="M140" s="505"/>
      <c r="N140" s="505"/>
      <c r="O140" s="505"/>
      <c r="P140" s="505"/>
      <c r="Q140" s="505"/>
      <c r="R140" s="505"/>
      <c r="S140" s="505"/>
      <c r="T140" s="505"/>
      <c r="U140" s="505"/>
      <c r="V140" s="505"/>
      <c r="W140" s="505"/>
      <c r="X140" s="505"/>
      <c r="Y140" s="505"/>
      <c r="Z140" s="505"/>
      <c r="AA140" s="505"/>
      <c r="AB140" s="505"/>
      <c r="AC140" s="505"/>
      <c r="AD140" s="505"/>
      <c r="AE140" s="505"/>
      <c r="AF140" s="505"/>
      <c r="AG140" s="505"/>
      <c r="AH140" s="505"/>
      <c r="AI140" s="505"/>
      <c r="AJ140" s="505"/>
      <c r="AK140" s="505"/>
      <c r="AL140" s="505"/>
      <c r="AM140" s="505"/>
      <c r="AN140" s="505"/>
      <c r="AO140" s="505"/>
      <c r="AP140" s="505"/>
      <c r="AQ140" s="505"/>
      <c r="AR140" s="505"/>
      <c r="AS140" s="505"/>
      <c r="AT140" s="505"/>
      <c r="AU140" s="505"/>
      <c r="AV140" s="505"/>
      <c r="AW140" s="505"/>
      <c r="AX140" s="505"/>
    </row>
    <row r="141" spans="10:50" ht="12" customHeight="1">
      <c r="J141" s="952"/>
      <c r="K141" s="505"/>
      <c r="L141" s="685"/>
      <c r="M141" s="505"/>
      <c r="N141" s="505"/>
      <c r="O141" s="505"/>
      <c r="P141" s="505"/>
      <c r="Q141" s="505"/>
      <c r="R141" s="505"/>
      <c r="S141" s="505"/>
      <c r="T141" s="505"/>
      <c r="U141" s="505"/>
      <c r="V141" s="505"/>
      <c r="W141" s="505"/>
      <c r="X141" s="505"/>
      <c r="Y141" s="505"/>
      <c r="Z141" s="505"/>
      <c r="AA141" s="505"/>
      <c r="AB141" s="505"/>
      <c r="AC141" s="505"/>
      <c r="AD141" s="505"/>
      <c r="AE141" s="505"/>
      <c r="AF141" s="505"/>
      <c r="AG141" s="505"/>
      <c r="AH141" s="505"/>
      <c r="AI141" s="505"/>
      <c r="AJ141" s="505"/>
      <c r="AK141" s="505"/>
      <c r="AL141" s="505"/>
      <c r="AM141" s="505"/>
      <c r="AN141" s="505"/>
      <c r="AO141" s="505"/>
      <c r="AP141" s="505"/>
      <c r="AQ141" s="505"/>
      <c r="AR141" s="505"/>
      <c r="AS141" s="505"/>
      <c r="AT141" s="505"/>
      <c r="AU141" s="505"/>
      <c r="AV141" s="505"/>
      <c r="AW141" s="505"/>
      <c r="AX141" s="505"/>
    </row>
    <row r="142" spans="10:50" ht="12" customHeight="1">
      <c r="J142" s="952"/>
      <c r="K142" s="505"/>
      <c r="L142" s="685"/>
      <c r="M142" s="505"/>
      <c r="N142" s="505"/>
      <c r="O142" s="505"/>
      <c r="P142" s="505"/>
      <c r="Q142" s="505"/>
      <c r="R142" s="505"/>
      <c r="S142" s="505"/>
      <c r="T142" s="505"/>
      <c r="U142" s="505"/>
      <c r="V142" s="505"/>
      <c r="W142" s="505"/>
      <c r="X142" s="505"/>
      <c r="Y142" s="505"/>
      <c r="Z142" s="505"/>
      <c r="AA142" s="505"/>
      <c r="AB142" s="505"/>
      <c r="AC142" s="505"/>
      <c r="AD142" s="505"/>
      <c r="AE142" s="505"/>
      <c r="AF142" s="505"/>
      <c r="AG142" s="505"/>
      <c r="AH142" s="505"/>
      <c r="AI142" s="505"/>
      <c r="AJ142" s="505"/>
      <c r="AK142" s="505"/>
      <c r="AL142" s="505"/>
      <c r="AM142" s="505"/>
      <c r="AN142" s="505"/>
      <c r="AO142" s="505"/>
      <c r="AP142" s="505"/>
      <c r="AQ142" s="505"/>
      <c r="AR142" s="505"/>
      <c r="AS142" s="505"/>
      <c r="AT142" s="505"/>
      <c r="AU142" s="505"/>
      <c r="AV142" s="505"/>
      <c r="AW142" s="505"/>
      <c r="AX142" s="505"/>
    </row>
    <row r="143" spans="10:50" ht="12" customHeight="1">
      <c r="J143" s="857"/>
      <c r="K143" s="857"/>
      <c r="L143" s="857"/>
      <c r="M143" s="857"/>
      <c r="N143" s="857"/>
      <c r="O143" s="857"/>
      <c r="P143" s="857"/>
      <c r="Q143" s="857"/>
      <c r="R143" s="513"/>
      <c r="S143" s="513"/>
      <c r="T143" s="513"/>
      <c r="U143" s="513"/>
      <c r="V143" s="513"/>
      <c r="W143" s="513"/>
      <c r="X143" s="513"/>
      <c r="Y143" s="513"/>
      <c r="Z143" s="513"/>
      <c r="AA143" s="513"/>
      <c r="AB143" s="513"/>
      <c r="AC143" s="513"/>
      <c r="AD143" s="513"/>
      <c r="AE143" s="513"/>
      <c r="AF143" s="513"/>
      <c r="AG143" s="513"/>
      <c r="AH143" s="513"/>
      <c r="AI143" s="513"/>
      <c r="AJ143" s="513"/>
      <c r="AK143" s="513"/>
      <c r="AL143" s="513"/>
      <c r="AM143" s="513"/>
      <c r="AN143" s="513"/>
      <c r="AO143" s="513"/>
      <c r="AP143" s="513"/>
      <c r="AQ143" s="513"/>
      <c r="AR143" s="513"/>
      <c r="AS143" s="513"/>
      <c r="AT143" s="513"/>
      <c r="AU143" s="513"/>
      <c r="AV143" s="513"/>
      <c r="AW143" s="513"/>
      <c r="AX143" s="513"/>
    </row>
    <row r="144" spans="10:50" ht="12" customHeight="1">
      <c r="J144" s="946"/>
      <c r="K144" s="946"/>
      <c r="L144" s="946"/>
      <c r="M144" s="946"/>
      <c r="N144" s="946"/>
      <c r="O144" s="946"/>
      <c r="P144" s="946"/>
      <c r="Q144" s="946"/>
      <c r="R144" s="946"/>
      <c r="S144" s="946"/>
      <c r="T144" s="946"/>
      <c r="U144" s="946"/>
      <c r="V144" s="946"/>
      <c r="W144" s="946"/>
      <c r="X144" s="946"/>
      <c r="Y144" s="946"/>
      <c r="Z144" s="946"/>
      <c r="AA144" s="946"/>
      <c r="AB144" s="946"/>
      <c r="AC144" s="946"/>
      <c r="AD144" s="946"/>
      <c r="AE144" s="946"/>
      <c r="AF144" s="946"/>
      <c r="AG144" s="946"/>
      <c r="AH144" s="946"/>
      <c r="AI144" s="946"/>
      <c r="AJ144" s="946"/>
      <c r="AK144" s="946"/>
      <c r="AL144" s="946"/>
      <c r="AM144" s="946"/>
      <c r="AN144" s="946"/>
      <c r="AO144" s="946"/>
      <c r="AP144" s="946"/>
      <c r="AQ144" s="946"/>
      <c r="AR144" s="946"/>
      <c r="AS144" s="946"/>
      <c r="AT144" s="946"/>
      <c r="AU144" s="946"/>
      <c r="AV144" s="946"/>
      <c r="AW144" s="946"/>
      <c r="AX144" s="946"/>
    </row>
    <row r="145" spans="10:50" ht="12" customHeight="1">
      <c r="J145" s="948"/>
      <c r="K145" s="950"/>
      <c r="L145" s="951"/>
      <c r="M145" s="951"/>
      <c r="N145" s="951"/>
      <c r="O145" s="951"/>
      <c r="P145" s="951"/>
      <c r="Q145" s="951"/>
      <c r="R145" s="951"/>
      <c r="S145" s="949"/>
      <c r="T145" s="505"/>
      <c r="U145" s="505"/>
      <c r="V145" s="505"/>
      <c r="W145" s="505"/>
      <c r="X145" s="505"/>
      <c r="Y145" s="505"/>
      <c r="Z145" s="505"/>
      <c r="AA145" s="505"/>
      <c r="AB145" s="505"/>
      <c r="AC145" s="505"/>
      <c r="AD145" s="505"/>
      <c r="AE145" s="505"/>
      <c r="AF145" s="505"/>
      <c r="AG145" s="505"/>
      <c r="AH145" s="505"/>
      <c r="AI145" s="505"/>
      <c r="AJ145" s="505"/>
      <c r="AK145" s="505"/>
      <c r="AL145" s="505"/>
      <c r="AM145" s="505"/>
      <c r="AN145" s="505"/>
      <c r="AO145" s="505"/>
      <c r="AP145" s="505"/>
      <c r="AQ145" s="505"/>
      <c r="AR145" s="505"/>
      <c r="AS145" s="505"/>
      <c r="AT145" s="505"/>
      <c r="AU145" s="505"/>
      <c r="AV145" s="505"/>
      <c r="AW145" s="505"/>
      <c r="AX145" s="505"/>
    </row>
    <row r="146" spans="10:50" ht="12" customHeight="1">
      <c r="J146" s="952"/>
      <c r="K146" s="505"/>
      <c r="L146" s="505"/>
      <c r="M146" s="685"/>
      <c r="N146" s="505"/>
      <c r="O146" s="505"/>
      <c r="P146" s="505"/>
      <c r="Q146" s="505"/>
      <c r="R146" s="505"/>
      <c r="S146" s="505"/>
      <c r="T146" s="505"/>
      <c r="U146" s="505"/>
      <c r="V146" s="505"/>
      <c r="W146" s="505"/>
      <c r="X146" s="505"/>
      <c r="Y146" s="505"/>
      <c r="Z146" s="505"/>
      <c r="AA146" s="505"/>
      <c r="AB146" s="505"/>
      <c r="AC146" s="505"/>
      <c r="AD146" s="505"/>
      <c r="AE146" s="505"/>
      <c r="AF146" s="505"/>
      <c r="AG146" s="505"/>
      <c r="AH146" s="505"/>
      <c r="AI146" s="505"/>
      <c r="AJ146" s="505"/>
      <c r="AK146" s="505"/>
      <c r="AL146" s="505"/>
      <c r="AM146" s="505"/>
      <c r="AN146" s="505"/>
      <c r="AO146" s="505"/>
      <c r="AP146" s="505"/>
      <c r="AQ146" s="505"/>
      <c r="AR146" s="505"/>
      <c r="AS146" s="505"/>
      <c r="AT146" s="505"/>
      <c r="AU146" s="505"/>
      <c r="AV146" s="505"/>
      <c r="AW146" s="505"/>
      <c r="AX146" s="505"/>
    </row>
    <row r="147" spans="10:50" ht="12" customHeight="1">
      <c r="J147" s="857"/>
      <c r="K147" s="857"/>
      <c r="L147" s="857"/>
      <c r="M147" s="857"/>
      <c r="N147" s="857"/>
      <c r="O147" s="857"/>
      <c r="P147" s="857"/>
      <c r="Q147" s="857"/>
      <c r="R147" s="513"/>
      <c r="S147" s="513"/>
      <c r="T147" s="513"/>
      <c r="U147" s="513"/>
      <c r="V147" s="513"/>
      <c r="W147" s="513"/>
      <c r="X147" s="513"/>
      <c r="Y147" s="513"/>
      <c r="Z147" s="513"/>
      <c r="AA147" s="513"/>
      <c r="AB147" s="513"/>
      <c r="AC147" s="513"/>
      <c r="AD147" s="513"/>
      <c r="AE147" s="513"/>
      <c r="AF147" s="513"/>
      <c r="AG147" s="513"/>
      <c r="AH147" s="513"/>
      <c r="AI147" s="513"/>
      <c r="AJ147" s="513"/>
      <c r="AK147" s="513"/>
      <c r="AL147" s="513"/>
      <c r="AM147" s="513"/>
      <c r="AN147" s="513"/>
      <c r="AO147" s="513"/>
      <c r="AP147" s="513"/>
      <c r="AQ147" s="513"/>
      <c r="AR147" s="513"/>
      <c r="AS147" s="513"/>
      <c r="AT147" s="513"/>
      <c r="AU147" s="513"/>
      <c r="AV147" s="513"/>
      <c r="AW147" s="513"/>
      <c r="AX147" s="513"/>
    </row>
    <row r="148" spans="10:50" ht="12" customHeight="1">
      <c r="J148" s="946"/>
      <c r="K148" s="946"/>
      <c r="L148" s="946"/>
      <c r="M148" s="946"/>
      <c r="N148" s="946"/>
      <c r="O148" s="946"/>
      <c r="P148" s="946"/>
      <c r="Q148" s="946"/>
      <c r="R148" s="946"/>
      <c r="S148" s="946"/>
      <c r="T148" s="946"/>
      <c r="U148" s="946"/>
      <c r="V148" s="946"/>
      <c r="W148" s="946"/>
      <c r="X148" s="946"/>
      <c r="Y148" s="946"/>
      <c r="Z148" s="946"/>
      <c r="AA148" s="946"/>
      <c r="AB148" s="946"/>
      <c r="AC148" s="946"/>
      <c r="AD148" s="946"/>
      <c r="AE148" s="946"/>
      <c r="AF148" s="946"/>
      <c r="AG148" s="946"/>
      <c r="AH148" s="946"/>
      <c r="AI148" s="946"/>
      <c r="AJ148" s="946"/>
      <c r="AK148" s="946"/>
      <c r="AL148" s="946"/>
      <c r="AM148" s="946"/>
      <c r="AN148" s="946"/>
      <c r="AO148" s="946"/>
      <c r="AP148" s="946"/>
      <c r="AQ148" s="946"/>
      <c r="AR148" s="946"/>
      <c r="AS148" s="946"/>
      <c r="AT148" s="946"/>
      <c r="AU148" s="946"/>
      <c r="AV148" s="946"/>
      <c r="AW148" s="946"/>
      <c r="AX148" s="946"/>
    </row>
    <row r="149" spans="10:50" ht="12" customHeight="1">
      <c r="J149" s="946"/>
      <c r="K149" s="946"/>
      <c r="L149" s="946"/>
      <c r="M149" s="946"/>
      <c r="N149" s="946"/>
      <c r="O149" s="946"/>
      <c r="P149" s="946"/>
      <c r="Q149" s="946"/>
      <c r="R149" s="946"/>
      <c r="S149" s="946"/>
      <c r="T149" s="946"/>
      <c r="U149" s="946"/>
      <c r="V149" s="946"/>
      <c r="W149" s="946"/>
      <c r="X149" s="946"/>
      <c r="Y149" s="946"/>
      <c r="Z149" s="946"/>
      <c r="AA149" s="946"/>
      <c r="AB149" s="946"/>
      <c r="AC149" s="946"/>
      <c r="AD149" s="946"/>
      <c r="AE149" s="946"/>
      <c r="AF149" s="946"/>
      <c r="AG149" s="946"/>
      <c r="AH149" s="946"/>
      <c r="AI149" s="946"/>
      <c r="AJ149" s="946"/>
      <c r="AK149" s="946"/>
      <c r="AL149" s="946"/>
      <c r="AM149" s="946"/>
      <c r="AN149" s="946"/>
      <c r="AO149" s="946"/>
      <c r="AP149" s="946"/>
      <c r="AQ149" s="946"/>
      <c r="AR149" s="946"/>
      <c r="AS149" s="946"/>
      <c r="AT149" s="946"/>
      <c r="AU149" s="946"/>
      <c r="AV149" s="946"/>
      <c r="AW149" s="946"/>
      <c r="AX149" s="946"/>
    </row>
  </sheetData>
  <sheetProtection algorithmName="SHA-512" hashValue="UvfU4Ear5aiQ9l2DzDRbRVZ/+zf77Az7K6zUV4VbZF/jKeLCzG6hoTxJP/2Qh9jFVF6i9UfGFtsyttLVe4CzIw==" saltValue="S1MWS1ImPhadDQYMi1EVaw==" spinCount="100000" sheet="1" objects="1" scenarios="1"/>
  <mergeCells count="8">
    <mergeCell ref="A126:G126"/>
    <mergeCell ref="A127:G127"/>
    <mergeCell ref="A2:D2"/>
    <mergeCell ref="A3:D3"/>
    <mergeCell ref="A120:C120"/>
    <mergeCell ref="A123:G123"/>
    <mergeCell ref="A124:G124"/>
    <mergeCell ref="A125:G125"/>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120"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EB22F-BB02-4EE6-9121-1CC3BD1BD0FF}">
  <sheetPr>
    <pageSetUpPr fitToPage="1"/>
  </sheetPr>
  <dimension ref="A1:DU82"/>
  <sheetViews>
    <sheetView zoomScaleNormal="100" workbookViewId="0"/>
  </sheetViews>
  <sheetFormatPr defaultColWidth="9" defaultRowHeight="12" customHeight="1"/>
  <cols>
    <col min="1" max="1" width="4.140625" style="498" customWidth="1"/>
    <col min="2" max="2" width="4.28515625" style="499" customWidth="1"/>
    <col min="3" max="3" width="13.5703125" style="499" customWidth="1"/>
    <col min="4" max="4" width="65" style="499" customWidth="1"/>
    <col min="5" max="5" width="6.7109375" style="499" customWidth="1"/>
    <col min="6" max="6" width="8.42578125" style="500" customWidth="1"/>
    <col min="7" max="7" width="10" style="501" customWidth="1"/>
    <col min="8" max="8" width="15.7109375" style="501" customWidth="1"/>
    <col min="9" max="9" width="17" style="328" customWidth="1"/>
    <col min="10" max="10" width="16.42578125" style="328" customWidth="1"/>
    <col min="11" max="11" width="11.5703125" style="328" customWidth="1"/>
    <col min="12" max="12" width="9.5703125" style="328" customWidth="1"/>
    <col min="13" max="125" width="9" style="328"/>
    <col min="126" max="256" width="9" style="502"/>
    <col min="257" max="257" width="4.140625" style="502" customWidth="1"/>
    <col min="258" max="258" width="4.28515625" style="502" customWidth="1"/>
    <col min="259" max="259" width="13.5703125" style="502" customWidth="1"/>
    <col min="260" max="260" width="65" style="502" customWidth="1"/>
    <col min="261" max="261" width="6.7109375" style="502" customWidth="1"/>
    <col min="262" max="262" width="8.42578125" style="502" customWidth="1"/>
    <col min="263" max="263" width="10" style="502" customWidth="1"/>
    <col min="264" max="264" width="15.7109375" style="502" customWidth="1"/>
    <col min="265" max="265" width="17" style="502" customWidth="1"/>
    <col min="266" max="266" width="14.7109375" style="502" customWidth="1"/>
    <col min="267" max="267" width="11.5703125" style="502" customWidth="1"/>
    <col min="268" max="512" width="9" style="502"/>
    <col min="513" max="513" width="4.140625" style="502" customWidth="1"/>
    <col min="514" max="514" width="4.28515625" style="502" customWidth="1"/>
    <col min="515" max="515" width="13.5703125" style="502" customWidth="1"/>
    <col min="516" max="516" width="65" style="502" customWidth="1"/>
    <col min="517" max="517" width="6.7109375" style="502" customWidth="1"/>
    <col min="518" max="518" width="8.42578125" style="502" customWidth="1"/>
    <col min="519" max="519" width="10" style="502" customWidth="1"/>
    <col min="520" max="520" width="15.7109375" style="502" customWidth="1"/>
    <col min="521" max="521" width="17" style="502" customWidth="1"/>
    <col min="522" max="522" width="14.7109375" style="502" customWidth="1"/>
    <col min="523" max="523" width="11.5703125" style="502" customWidth="1"/>
    <col min="524" max="768" width="9" style="502"/>
    <col min="769" max="769" width="4.140625" style="502" customWidth="1"/>
    <col min="770" max="770" width="4.28515625" style="502" customWidth="1"/>
    <col min="771" max="771" width="13.5703125" style="502" customWidth="1"/>
    <col min="772" max="772" width="65" style="502" customWidth="1"/>
    <col min="773" max="773" width="6.7109375" style="502" customWidth="1"/>
    <col min="774" max="774" width="8.42578125" style="502" customWidth="1"/>
    <col min="775" max="775" width="10" style="502" customWidth="1"/>
    <col min="776" max="776" width="15.7109375" style="502" customWidth="1"/>
    <col min="777" max="777" width="17" style="502" customWidth="1"/>
    <col min="778" max="778" width="14.7109375" style="502" customWidth="1"/>
    <col min="779" max="779" width="11.5703125" style="502" customWidth="1"/>
    <col min="780" max="1024" width="9" style="502"/>
    <col min="1025" max="1025" width="4.140625" style="502" customWidth="1"/>
    <col min="1026" max="1026" width="4.28515625" style="502" customWidth="1"/>
    <col min="1027" max="1027" width="13.5703125" style="502" customWidth="1"/>
    <col min="1028" max="1028" width="65" style="502" customWidth="1"/>
    <col min="1029" max="1029" width="6.7109375" style="502" customWidth="1"/>
    <col min="1030" max="1030" width="8.42578125" style="502" customWidth="1"/>
    <col min="1031" max="1031" width="10" style="502" customWidth="1"/>
    <col min="1032" max="1032" width="15.7109375" style="502" customWidth="1"/>
    <col min="1033" max="1033" width="17" style="502" customWidth="1"/>
    <col min="1034" max="1034" width="14.7109375" style="502" customWidth="1"/>
    <col min="1035" max="1035" width="11.5703125" style="502" customWidth="1"/>
    <col min="1036" max="1280" width="9" style="502"/>
    <col min="1281" max="1281" width="4.140625" style="502" customWidth="1"/>
    <col min="1282" max="1282" width="4.28515625" style="502" customWidth="1"/>
    <col min="1283" max="1283" width="13.5703125" style="502" customWidth="1"/>
    <col min="1284" max="1284" width="65" style="502" customWidth="1"/>
    <col min="1285" max="1285" width="6.7109375" style="502" customWidth="1"/>
    <col min="1286" max="1286" width="8.42578125" style="502" customWidth="1"/>
    <col min="1287" max="1287" width="10" style="502" customWidth="1"/>
    <col min="1288" max="1288" width="15.7109375" style="502" customWidth="1"/>
    <col min="1289" max="1289" width="17" style="502" customWidth="1"/>
    <col min="1290" max="1290" width="14.7109375" style="502" customWidth="1"/>
    <col min="1291" max="1291" width="11.5703125" style="502" customWidth="1"/>
    <col min="1292" max="1536" width="9" style="502"/>
    <col min="1537" max="1537" width="4.140625" style="502" customWidth="1"/>
    <col min="1538" max="1538" width="4.28515625" style="502" customWidth="1"/>
    <col min="1539" max="1539" width="13.5703125" style="502" customWidth="1"/>
    <col min="1540" max="1540" width="65" style="502" customWidth="1"/>
    <col min="1541" max="1541" width="6.7109375" style="502" customWidth="1"/>
    <col min="1542" max="1542" width="8.42578125" style="502" customWidth="1"/>
    <col min="1543" max="1543" width="10" style="502" customWidth="1"/>
    <col min="1544" max="1544" width="15.7109375" style="502" customWidth="1"/>
    <col min="1545" max="1545" width="17" style="502" customWidth="1"/>
    <col min="1546" max="1546" width="14.7109375" style="502" customWidth="1"/>
    <col min="1547" max="1547" width="11.5703125" style="502" customWidth="1"/>
    <col min="1548" max="1792" width="9" style="502"/>
    <col min="1793" max="1793" width="4.140625" style="502" customWidth="1"/>
    <col min="1794" max="1794" width="4.28515625" style="502" customWidth="1"/>
    <col min="1795" max="1795" width="13.5703125" style="502" customWidth="1"/>
    <col min="1796" max="1796" width="65" style="502" customWidth="1"/>
    <col min="1797" max="1797" width="6.7109375" style="502" customWidth="1"/>
    <col min="1798" max="1798" width="8.42578125" style="502" customWidth="1"/>
    <col min="1799" max="1799" width="10" style="502" customWidth="1"/>
    <col min="1800" max="1800" width="15.7109375" style="502" customWidth="1"/>
    <col min="1801" max="1801" width="17" style="502" customWidth="1"/>
    <col min="1802" max="1802" width="14.7109375" style="502" customWidth="1"/>
    <col min="1803" max="1803" width="11.5703125" style="502" customWidth="1"/>
    <col min="1804" max="2048" width="9" style="502"/>
    <col min="2049" max="2049" width="4.140625" style="502" customWidth="1"/>
    <col min="2050" max="2050" width="4.28515625" style="502" customWidth="1"/>
    <col min="2051" max="2051" width="13.5703125" style="502" customWidth="1"/>
    <col min="2052" max="2052" width="65" style="502" customWidth="1"/>
    <col min="2053" max="2053" width="6.7109375" style="502" customWidth="1"/>
    <col min="2054" max="2054" width="8.42578125" style="502" customWidth="1"/>
    <col min="2055" max="2055" width="10" style="502" customWidth="1"/>
    <col min="2056" max="2056" width="15.7109375" style="502" customWidth="1"/>
    <col min="2057" max="2057" width="17" style="502" customWidth="1"/>
    <col min="2058" max="2058" width="14.7109375" style="502" customWidth="1"/>
    <col min="2059" max="2059" width="11.5703125" style="502" customWidth="1"/>
    <col min="2060" max="2304" width="9" style="502"/>
    <col min="2305" max="2305" width="4.140625" style="502" customWidth="1"/>
    <col min="2306" max="2306" width="4.28515625" style="502" customWidth="1"/>
    <col min="2307" max="2307" width="13.5703125" style="502" customWidth="1"/>
    <col min="2308" max="2308" width="65" style="502" customWidth="1"/>
    <col min="2309" max="2309" width="6.7109375" style="502" customWidth="1"/>
    <col min="2310" max="2310" width="8.42578125" style="502" customWidth="1"/>
    <col min="2311" max="2311" width="10" style="502" customWidth="1"/>
    <col min="2312" max="2312" width="15.7109375" style="502" customWidth="1"/>
    <col min="2313" max="2313" width="17" style="502" customWidth="1"/>
    <col min="2314" max="2314" width="14.7109375" style="502" customWidth="1"/>
    <col min="2315" max="2315" width="11.5703125" style="502" customWidth="1"/>
    <col min="2316" max="2560" width="9" style="502"/>
    <col min="2561" max="2561" width="4.140625" style="502" customWidth="1"/>
    <col min="2562" max="2562" width="4.28515625" style="502" customWidth="1"/>
    <col min="2563" max="2563" width="13.5703125" style="502" customWidth="1"/>
    <col min="2564" max="2564" width="65" style="502" customWidth="1"/>
    <col min="2565" max="2565" width="6.7109375" style="502" customWidth="1"/>
    <col min="2566" max="2566" width="8.42578125" style="502" customWidth="1"/>
    <col min="2567" max="2567" width="10" style="502" customWidth="1"/>
    <col min="2568" max="2568" width="15.7109375" style="502" customWidth="1"/>
    <col min="2569" max="2569" width="17" style="502" customWidth="1"/>
    <col min="2570" max="2570" width="14.7109375" style="502" customWidth="1"/>
    <col min="2571" max="2571" width="11.5703125" style="502" customWidth="1"/>
    <col min="2572" max="2816" width="9" style="502"/>
    <col min="2817" max="2817" width="4.140625" style="502" customWidth="1"/>
    <col min="2818" max="2818" width="4.28515625" style="502" customWidth="1"/>
    <col min="2819" max="2819" width="13.5703125" style="502" customWidth="1"/>
    <col min="2820" max="2820" width="65" style="502" customWidth="1"/>
    <col min="2821" max="2821" width="6.7109375" style="502" customWidth="1"/>
    <col min="2822" max="2822" width="8.42578125" style="502" customWidth="1"/>
    <col min="2823" max="2823" width="10" style="502" customWidth="1"/>
    <col min="2824" max="2824" width="15.7109375" style="502" customWidth="1"/>
    <col min="2825" max="2825" width="17" style="502" customWidth="1"/>
    <col min="2826" max="2826" width="14.7109375" style="502" customWidth="1"/>
    <col min="2827" max="2827" width="11.5703125" style="502" customWidth="1"/>
    <col min="2828" max="3072" width="9" style="502"/>
    <col min="3073" max="3073" width="4.140625" style="502" customWidth="1"/>
    <col min="3074" max="3074" width="4.28515625" style="502" customWidth="1"/>
    <col min="3075" max="3075" width="13.5703125" style="502" customWidth="1"/>
    <col min="3076" max="3076" width="65" style="502" customWidth="1"/>
    <col min="3077" max="3077" width="6.7109375" style="502" customWidth="1"/>
    <col min="3078" max="3078" width="8.42578125" style="502" customWidth="1"/>
    <col min="3079" max="3079" width="10" style="502" customWidth="1"/>
    <col min="3080" max="3080" width="15.7109375" style="502" customWidth="1"/>
    <col min="3081" max="3081" width="17" style="502" customWidth="1"/>
    <col min="3082" max="3082" width="14.7109375" style="502" customWidth="1"/>
    <col min="3083" max="3083" width="11.5703125" style="502" customWidth="1"/>
    <col min="3084" max="3328" width="9" style="502"/>
    <col min="3329" max="3329" width="4.140625" style="502" customWidth="1"/>
    <col min="3330" max="3330" width="4.28515625" style="502" customWidth="1"/>
    <col min="3331" max="3331" width="13.5703125" style="502" customWidth="1"/>
    <col min="3332" max="3332" width="65" style="502" customWidth="1"/>
    <col min="3333" max="3333" width="6.7109375" style="502" customWidth="1"/>
    <col min="3334" max="3334" width="8.42578125" style="502" customWidth="1"/>
    <col min="3335" max="3335" width="10" style="502" customWidth="1"/>
    <col min="3336" max="3336" width="15.7109375" style="502" customWidth="1"/>
    <col min="3337" max="3337" width="17" style="502" customWidth="1"/>
    <col min="3338" max="3338" width="14.7109375" style="502" customWidth="1"/>
    <col min="3339" max="3339" width="11.5703125" style="502" customWidth="1"/>
    <col min="3340" max="3584" width="9" style="502"/>
    <col min="3585" max="3585" width="4.140625" style="502" customWidth="1"/>
    <col min="3586" max="3586" width="4.28515625" style="502" customWidth="1"/>
    <col min="3587" max="3587" width="13.5703125" style="502" customWidth="1"/>
    <col min="3588" max="3588" width="65" style="502" customWidth="1"/>
    <col min="3589" max="3589" width="6.7109375" style="502" customWidth="1"/>
    <col min="3590" max="3590" width="8.42578125" style="502" customWidth="1"/>
    <col min="3591" max="3591" width="10" style="502" customWidth="1"/>
    <col min="3592" max="3592" width="15.7109375" style="502" customWidth="1"/>
    <col min="3593" max="3593" width="17" style="502" customWidth="1"/>
    <col min="3594" max="3594" width="14.7109375" style="502" customWidth="1"/>
    <col min="3595" max="3595" width="11.5703125" style="502" customWidth="1"/>
    <col min="3596" max="3840" width="9" style="502"/>
    <col min="3841" max="3841" width="4.140625" style="502" customWidth="1"/>
    <col min="3842" max="3842" width="4.28515625" style="502" customWidth="1"/>
    <col min="3843" max="3843" width="13.5703125" style="502" customWidth="1"/>
    <col min="3844" max="3844" width="65" style="502" customWidth="1"/>
    <col min="3845" max="3845" width="6.7109375" style="502" customWidth="1"/>
    <col min="3846" max="3846" width="8.42578125" style="502" customWidth="1"/>
    <col min="3847" max="3847" width="10" style="502" customWidth="1"/>
    <col min="3848" max="3848" width="15.7109375" style="502" customWidth="1"/>
    <col min="3849" max="3849" width="17" style="502" customWidth="1"/>
    <col min="3850" max="3850" width="14.7109375" style="502" customWidth="1"/>
    <col min="3851" max="3851" width="11.5703125" style="502" customWidth="1"/>
    <col min="3852" max="4096" width="9" style="502"/>
    <col min="4097" max="4097" width="4.140625" style="502" customWidth="1"/>
    <col min="4098" max="4098" width="4.28515625" style="502" customWidth="1"/>
    <col min="4099" max="4099" width="13.5703125" style="502" customWidth="1"/>
    <col min="4100" max="4100" width="65" style="502" customWidth="1"/>
    <col min="4101" max="4101" width="6.7109375" style="502" customWidth="1"/>
    <col min="4102" max="4102" width="8.42578125" style="502" customWidth="1"/>
    <col min="4103" max="4103" width="10" style="502" customWidth="1"/>
    <col min="4104" max="4104" width="15.7109375" style="502" customWidth="1"/>
    <col min="4105" max="4105" width="17" style="502" customWidth="1"/>
    <col min="4106" max="4106" width="14.7109375" style="502" customWidth="1"/>
    <col min="4107" max="4107" width="11.5703125" style="502" customWidth="1"/>
    <col min="4108" max="4352" width="9" style="502"/>
    <col min="4353" max="4353" width="4.140625" style="502" customWidth="1"/>
    <col min="4354" max="4354" width="4.28515625" style="502" customWidth="1"/>
    <col min="4355" max="4355" width="13.5703125" style="502" customWidth="1"/>
    <col min="4356" max="4356" width="65" style="502" customWidth="1"/>
    <col min="4357" max="4357" width="6.7109375" style="502" customWidth="1"/>
    <col min="4358" max="4358" width="8.42578125" style="502" customWidth="1"/>
    <col min="4359" max="4359" width="10" style="502" customWidth="1"/>
    <col min="4360" max="4360" width="15.7109375" style="502" customWidth="1"/>
    <col min="4361" max="4361" width="17" style="502" customWidth="1"/>
    <col min="4362" max="4362" width="14.7109375" style="502" customWidth="1"/>
    <col min="4363" max="4363" width="11.5703125" style="502" customWidth="1"/>
    <col min="4364" max="4608" width="9" style="502"/>
    <col min="4609" max="4609" width="4.140625" style="502" customWidth="1"/>
    <col min="4610" max="4610" width="4.28515625" style="502" customWidth="1"/>
    <col min="4611" max="4611" width="13.5703125" style="502" customWidth="1"/>
    <col min="4612" max="4612" width="65" style="502" customWidth="1"/>
    <col min="4613" max="4613" width="6.7109375" style="502" customWidth="1"/>
    <col min="4614" max="4614" width="8.42578125" style="502" customWidth="1"/>
    <col min="4615" max="4615" width="10" style="502" customWidth="1"/>
    <col min="4616" max="4616" width="15.7109375" style="502" customWidth="1"/>
    <col min="4617" max="4617" width="17" style="502" customWidth="1"/>
    <col min="4618" max="4618" width="14.7109375" style="502" customWidth="1"/>
    <col min="4619" max="4619" width="11.5703125" style="502" customWidth="1"/>
    <col min="4620" max="4864" width="9" style="502"/>
    <col min="4865" max="4865" width="4.140625" style="502" customWidth="1"/>
    <col min="4866" max="4866" width="4.28515625" style="502" customWidth="1"/>
    <col min="4867" max="4867" width="13.5703125" style="502" customWidth="1"/>
    <col min="4868" max="4868" width="65" style="502" customWidth="1"/>
    <col min="4869" max="4869" width="6.7109375" style="502" customWidth="1"/>
    <col min="4870" max="4870" width="8.42578125" style="502" customWidth="1"/>
    <col min="4871" max="4871" width="10" style="502" customWidth="1"/>
    <col min="4872" max="4872" width="15.7109375" style="502" customWidth="1"/>
    <col min="4873" max="4873" width="17" style="502" customWidth="1"/>
    <col min="4874" max="4874" width="14.7109375" style="502" customWidth="1"/>
    <col min="4875" max="4875" width="11.5703125" style="502" customWidth="1"/>
    <col min="4876" max="5120" width="9" style="502"/>
    <col min="5121" max="5121" width="4.140625" style="502" customWidth="1"/>
    <col min="5122" max="5122" width="4.28515625" style="502" customWidth="1"/>
    <col min="5123" max="5123" width="13.5703125" style="502" customWidth="1"/>
    <col min="5124" max="5124" width="65" style="502" customWidth="1"/>
    <col min="5125" max="5125" width="6.7109375" style="502" customWidth="1"/>
    <col min="5126" max="5126" width="8.42578125" style="502" customWidth="1"/>
    <col min="5127" max="5127" width="10" style="502" customWidth="1"/>
    <col min="5128" max="5128" width="15.7109375" style="502" customWidth="1"/>
    <col min="5129" max="5129" width="17" style="502" customWidth="1"/>
    <col min="5130" max="5130" width="14.7109375" style="502" customWidth="1"/>
    <col min="5131" max="5131" width="11.5703125" style="502" customWidth="1"/>
    <col min="5132" max="5376" width="9" style="502"/>
    <col min="5377" max="5377" width="4.140625" style="502" customWidth="1"/>
    <col min="5378" max="5378" width="4.28515625" style="502" customWidth="1"/>
    <col min="5379" max="5379" width="13.5703125" style="502" customWidth="1"/>
    <col min="5380" max="5380" width="65" style="502" customWidth="1"/>
    <col min="5381" max="5381" width="6.7109375" style="502" customWidth="1"/>
    <col min="5382" max="5382" width="8.42578125" style="502" customWidth="1"/>
    <col min="5383" max="5383" width="10" style="502" customWidth="1"/>
    <col min="5384" max="5384" width="15.7109375" style="502" customWidth="1"/>
    <col min="5385" max="5385" width="17" style="502" customWidth="1"/>
    <col min="5386" max="5386" width="14.7109375" style="502" customWidth="1"/>
    <col min="5387" max="5387" width="11.5703125" style="502" customWidth="1"/>
    <col min="5388" max="5632" width="9" style="502"/>
    <col min="5633" max="5633" width="4.140625" style="502" customWidth="1"/>
    <col min="5634" max="5634" width="4.28515625" style="502" customWidth="1"/>
    <col min="5635" max="5635" width="13.5703125" style="502" customWidth="1"/>
    <col min="5636" max="5636" width="65" style="502" customWidth="1"/>
    <col min="5637" max="5637" width="6.7109375" style="502" customWidth="1"/>
    <col min="5638" max="5638" width="8.42578125" style="502" customWidth="1"/>
    <col min="5639" max="5639" width="10" style="502" customWidth="1"/>
    <col min="5640" max="5640" width="15.7109375" style="502" customWidth="1"/>
    <col min="5641" max="5641" width="17" style="502" customWidth="1"/>
    <col min="5642" max="5642" width="14.7109375" style="502" customWidth="1"/>
    <col min="5643" max="5643" width="11.5703125" style="502" customWidth="1"/>
    <col min="5644" max="5888" width="9" style="502"/>
    <col min="5889" max="5889" width="4.140625" style="502" customWidth="1"/>
    <col min="5890" max="5890" width="4.28515625" style="502" customWidth="1"/>
    <col min="5891" max="5891" width="13.5703125" style="502" customWidth="1"/>
    <col min="5892" max="5892" width="65" style="502" customWidth="1"/>
    <col min="5893" max="5893" width="6.7109375" style="502" customWidth="1"/>
    <col min="5894" max="5894" width="8.42578125" style="502" customWidth="1"/>
    <col min="5895" max="5895" width="10" style="502" customWidth="1"/>
    <col min="5896" max="5896" width="15.7109375" style="502" customWidth="1"/>
    <col min="5897" max="5897" width="17" style="502" customWidth="1"/>
    <col min="5898" max="5898" width="14.7109375" style="502" customWidth="1"/>
    <col min="5899" max="5899" width="11.5703125" style="502" customWidth="1"/>
    <col min="5900" max="6144" width="9" style="502"/>
    <col min="6145" max="6145" width="4.140625" style="502" customWidth="1"/>
    <col min="6146" max="6146" width="4.28515625" style="502" customWidth="1"/>
    <col min="6147" max="6147" width="13.5703125" style="502" customWidth="1"/>
    <col min="6148" max="6148" width="65" style="502" customWidth="1"/>
    <col min="6149" max="6149" width="6.7109375" style="502" customWidth="1"/>
    <col min="6150" max="6150" width="8.42578125" style="502" customWidth="1"/>
    <col min="6151" max="6151" width="10" style="502" customWidth="1"/>
    <col min="6152" max="6152" width="15.7109375" style="502" customWidth="1"/>
    <col min="6153" max="6153" width="17" style="502" customWidth="1"/>
    <col min="6154" max="6154" width="14.7109375" style="502" customWidth="1"/>
    <col min="6155" max="6155" width="11.5703125" style="502" customWidth="1"/>
    <col min="6156" max="6400" width="9" style="502"/>
    <col min="6401" max="6401" width="4.140625" style="502" customWidth="1"/>
    <col min="6402" max="6402" width="4.28515625" style="502" customWidth="1"/>
    <col min="6403" max="6403" width="13.5703125" style="502" customWidth="1"/>
    <col min="6404" max="6404" width="65" style="502" customWidth="1"/>
    <col min="6405" max="6405" width="6.7109375" style="502" customWidth="1"/>
    <col min="6406" max="6406" width="8.42578125" style="502" customWidth="1"/>
    <col min="6407" max="6407" width="10" style="502" customWidth="1"/>
    <col min="6408" max="6408" width="15.7109375" style="502" customWidth="1"/>
    <col min="6409" max="6409" width="17" style="502" customWidth="1"/>
    <col min="6410" max="6410" width="14.7109375" style="502" customWidth="1"/>
    <col min="6411" max="6411" width="11.5703125" style="502" customWidth="1"/>
    <col min="6412" max="6656" width="9" style="502"/>
    <col min="6657" max="6657" width="4.140625" style="502" customWidth="1"/>
    <col min="6658" max="6658" width="4.28515625" style="502" customWidth="1"/>
    <col min="6659" max="6659" width="13.5703125" style="502" customWidth="1"/>
    <col min="6660" max="6660" width="65" style="502" customWidth="1"/>
    <col min="6661" max="6661" width="6.7109375" style="502" customWidth="1"/>
    <col min="6662" max="6662" width="8.42578125" style="502" customWidth="1"/>
    <col min="6663" max="6663" width="10" style="502" customWidth="1"/>
    <col min="6664" max="6664" width="15.7109375" style="502" customWidth="1"/>
    <col min="6665" max="6665" width="17" style="502" customWidth="1"/>
    <col min="6666" max="6666" width="14.7109375" style="502" customWidth="1"/>
    <col min="6667" max="6667" width="11.5703125" style="502" customWidth="1"/>
    <col min="6668" max="6912" width="9" style="502"/>
    <col min="6913" max="6913" width="4.140625" style="502" customWidth="1"/>
    <col min="6914" max="6914" width="4.28515625" style="502" customWidth="1"/>
    <col min="6915" max="6915" width="13.5703125" style="502" customWidth="1"/>
    <col min="6916" max="6916" width="65" style="502" customWidth="1"/>
    <col min="6917" max="6917" width="6.7109375" style="502" customWidth="1"/>
    <col min="6918" max="6918" width="8.42578125" style="502" customWidth="1"/>
    <col min="6919" max="6919" width="10" style="502" customWidth="1"/>
    <col min="6920" max="6920" width="15.7109375" style="502" customWidth="1"/>
    <col min="6921" max="6921" width="17" style="502" customWidth="1"/>
    <col min="6922" max="6922" width="14.7109375" style="502" customWidth="1"/>
    <col min="6923" max="6923" width="11.5703125" style="502" customWidth="1"/>
    <col min="6924" max="7168" width="9" style="502"/>
    <col min="7169" max="7169" width="4.140625" style="502" customWidth="1"/>
    <col min="7170" max="7170" width="4.28515625" style="502" customWidth="1"/>
    <col min="7171" max="7171" width="13.5703125" style="502" customWidth="1"/>
    <col min="7172" max="7172" width="65" style="502" customWidth="1"/>
    <col min="7173" max="7173" width="6.7109375" style="502" customWidth="1"/>
    <col min="7174" max="7174" width="8.42578125" style="502" customWidth="1"/>
    <col min="7175" max="7175" width="10" style="502" customWidth="1"/>
    <col min="7176" max="7176" width="15.7109375" style="502" customWidth="1"/>
    <col min="7177" max="7177" width="17" style="502" customWidth="1"/>
    <col min="7178" max="7178" width="14.7109375" style="502" customWidth="1"/>
    <col min="7179" max="7179" width="11.5703125" style="502" customWidth="1"/>
    <col min="7180" max="7424" width="9" style="502"/>
    <col min="7425" max="7425" width="4.140625" style="502" customWidth="1"/>
    <col min="7426" max="7426" width="4.28515625" style="502" customWidth="1"/>
    <col min="7427" max="7427" width="13.5703125" style="502" customWidth="1"/>
    <col min="7428" max="7428" width="65" style="502" customWidth="1"/>
    <col min="7429" max="7429" width="6.7109375" style="502" customWidth="1"/>
    <col min="7430" max="7430" width="8.42578125" style="502" customWidth="1"/>
    <col min="7431" max="7431" width="10" style="502" customWidth="1"/>
    <col min="7432" max="7432" width="15.7109375" style="502" customWidth="1"/>
    <col min="7433" max="7433" width="17" style="502" customWidth="1"/>
    <col min="7434" max="7434" width="14.7109375" style="502" customWidth="1"/>
    <col min="7435" max="7435" width="11.5703125" style="502" customWidth="1"/>
    <col min="7436" max="7680" width="9" style="502"/>
    <col min="7681" max="7681" width="4.140625" style="502" customWidth="1"/>
    <col min="7682" max="7682" width="4.28515625" style="502" customWidth="1"/>
    <col min="7683" max="7683" width="13.5703125" style="502" customWidth="1"/>
    <col min="7684" max="7684" width="65" style="502" customWidth="1"/>
    <col min="7685" max="7685" width="6.7109375" style="502" customWidth="1"/>
    <col min="7686" max="7686" width="8.42578125" style="502" customWidth="1"/>
    <col min="7687" max="7687" width="10" style="502" customWidth="1"/>
    <col min="7688" max="7688" width="15.7109375" style="502" customWidth="1"/>
    <col min="7689" max="7689" width="17" style="502" customWidth="1"/>
    <col min="7690" max="7690" width="14.7109375" style="502" customWidth="1"/>
    <col min="7691" max="7691" width="11.5703125" style="502" customWidth="1"/>
    <col min="7692" max="7936" width="9" style="502"/>
    <col min="7937" max="7937" width="4.140625" style="502" customWidth="1"/>
    <col min="7938" max="7938" width="4.28515625" style="502" customWidth="1"/>
    <col min="7939" max="7939" width="13.5703125" style="502" customWidth="1"/>
    <col min="7940" max="7940" width="65" style="502" customWidth="1"/>
    <col min="7941" max="7941" width="6.7109375" style="502" customWidth="1"/>
    <col min="7942" max="7942" width="8.42578125" style="502" customWidth="1"/>
    <col min="7943" max="7943" width="10" style="502" customWidth="1"/>
    <col min="7944" max="7944" width="15.7109375" style="502" customWidth="1"/>
    <col min="7945" max="7945" width="17" style="502" customWidth="1"/>
    <col min="7946" max="7946" width="14.7109375" style="502" customWidth="1"/>
    <col min="7947" max="7947" width="11.5703125" style="502" customWidth="1"/>
    <col min="7948" max="8192" width="9" style="502"/>
    <col min="8193" max="8193" width="4.140625" style="502" customWidth="1"/>
    <col min="8194" max="8194" width="4.28515625" style="502" customWidth="1"/>
    <col min="8195" max="8195" width="13.5703125" style="502" customWidth="1"/>
    <col min="8196" max="8196" width="65" style="502" customWidth="1"/>
    <col min="8197" max="8197" width="6.7109375" style="502" customWidth="1"/>
    <col min="8198" max="8198" width="8.42578125" style="502" customWidth="1"/>
    <col min="8199" max="8199" width="10" style="502" customWidth="1"/>
    <col min="8200" max="8200" width="15.7109375" style="502" customWidth="1"/>
    <col min="8201" max="8201" width="17" style="502" customWidth="1"/>
    <col min="8202" max="8202" width="14.7109375" style="502" customWidth="1"/>
    <col min="8203" max="8203" width="11.5703125" style="502" customWidth="1"/>
    <col min="8204" max="8448" width="9" style="502"/>
    <col min="8449" max="8449" width="4.140625" style="502" customWidth="1"/>
    <col min="8450" max="8450" width="4.28515625" style="502" customWidth="1"/>
    <col min="8451" max="8451" width="13.5703125" style="502" customWidth="1"/>
    <col min="8452" max="8452" width="65" style="502" customWidth="1"/>
    <col min="8453" max="8453" width="6.7109375" style="502" customWidth="1"/>
    <col min="8454" max="8454" width="8.42578125" style="502" customWidth="1"/>
    <col min="8455" max="8455" width="10" style="502" customWidth="1"/>
    <col min="8456" max="8456" width="15.7109375" style="502" customWidth="1"/>
    <col min="8457" max="8457" width="17" style="502" customWidth="1"/>
    <col min="8458" max="8458" width="14.7109375" style="502" customWidth="1"/>
    <col min="8459" max="8459" width="11.5703125" style="502" customWidth="1"/>
    <col min="8460" max="8704" width="9" style="502"/>
    <col min="8705" max="8705" width="4.140625" style="502" customWidth="1"/>
    <col min="8706" max="8706" width="4.28515625" style="502" customWidth="1"/>
    <col min="8707" max="8707" width="13.5703125" style="502" customWidth="1"/>
    <col min="8708" max="8708" width="65" style="502" customWidth="1"/>
    <col min="8709" max="8709" width="6.7109375" style="502" customWidth="1"/>
    <col min="8710" max="8710" width="8.42578125" style="502" customWidth="1"/>
    <col min="8711" max="8711" width="10" style="502" customWidth="1"/>
    <col min="8712" max="8712" width="15.7109375" style="502" customWidth="1"/>
    <col min="8713" max="8713" width="17" style="502" customWidth="1"/>
    <col min="8714" max="8714" width="14.7109375" style="502" customWidth="1"/>
    <col min="8715" max="8715" width="11.5703125" style="502" customWidth="1"/>
    <col min="8716" max="8960" width="9" style="502"/>
    <col min="8961" max="8961" width="4.140625" style="502" customWidth="1"/>
    <col min="8962" max="8962" width="4.28515625" style="502" customWidth="1"/>
    <col min="8963" max="8963" width="13.5703125" style="502" customWidth="1"/>
    <col min="8964" max="8964" width="65" style="502" customWidth="1"/>
    <col min="8965" max="8965" width="6.7109375" style="502" customWidth="1"/>
    <col min="8966" max="8966" width="8.42578125" style="502" customWidth="1"/>
    <col min="8967" max="8967" width="10" style="502" customWidth="1"/>
    <col min="8968" max="8968" width="15.7109375" style="502" customWidth="1"/>
    <col min="8969" max="8969" width="17" style="502" customWidth="1"/>
    <col min="8970" max="8970" width="14.7109375" style="502" customWidth="1"/>
    <col min="8971" max="8971" width="11.5703125" style="502" customWidth="1"/>
    <col min="8972" max="9216" width="9" style="502"/>
    <col min="9217" max="9217" width="4.140625" style="502" customWidth="1"/>
    <col min="9218" max="9218" width="4.28515625" style="502" customWidth="1"/>
    <col min="9219" max="9219" width="13.5703125" style="502" customWidth="1"/>
    <col min="9220" max="9220" width="65" style="502" customWidth="1"/>
    <col min="9221" max="9221" width="6.7109375" style="502" customWidth="1"/>
    <col min="9222" max="9222" width="8.42578125" style="502" customWidth="1"/>
    <col min="9223" max="9223" width="10" style="502" customWidth="1"/>
    <col min="9224" max="9224" width="15.7109375" style="502" customWidth="1"/>
    <col min="9225" max="9225" width="17" style="502" customWidth="1"/>
    <col min="9226" max="9226" width="14.7109375" style="502" customWidth="1"/>
    <col min="9227" max="9227" width="11.5703125" style="502" customWidth="1"/>
    <col min="9228" max="9472" width="9" style="502"/>
    <col min="9473" max="9473" width="4.140625" style="502" customWidth="1"/>
    <col min="9474" max="9474" width="4.28515625" style="502" customWidth="1"/>
    <col min="9475" max="9475" width="13.5703125" style="502" customWidth="1"/>
    <col min="9476" max="9476" width="65" style="502" customWidth="1"/>
    <col min="9477" max="9477" width="6.7109375" style="502" customWidth="1"/>
    <col min="9478" max="9478" width="8.42578125" style="502" customWidth="1"/>
    <col min="9479" max="9479" width="10" style="502" customWidth="1"/>
    <col min="9480" max="9480" width="15.7109375" style="502" customWidth="1"/>
    <col min="9481" max="9481" width="17" style="502" customWidth="1"/>
    <col min="9482" max="9482" width="14.7109375" style="502" customWidth="1"/>
    <col min="9483" max="9483" width="11.5703125" style="502" customWidth="1"/>
    <col min="9484" max="9728" width="9" style="502"/>
    <col min="9729" max="9729" width="4.140625" style="502" customWidth="1"/>
    <col min="9730" max="9730" width="4.28515625" style="502" customWidth="1"/>
    <col min="9731" max="9731" width="13.5703125" style="502" customWidth="1"/>
    <col min="9732" max="9732" width="65" style="502" customWidth="1"/>
    <col min="9733" max="9733" width="6.7109375" style="502" customWidth="1"/>
    <col min="9734" max="9734" width="8.42578125" style="502" customWidth="1"/>
    <col min="9735" max="9735" width="10" style="502" customWidth="1"/>
    <col min="9736" max="9736" width="15.7109375" style="502" customWidth="1"/>
    <col min="9737" max="9737" width="17" style="502" customWidth="1"/>
    <col min="9738" max="9738" width="14.7109375" style="502" customWidth="1"/>
    <col min="9739" max="9739" width="11.5703125" style="502" customWidth="1"/>
    <col min="9740" max="9984" width="9" style="502"/>
    <col min="9985" max="9985" width="4.140625" style="502" customWidth="1"/>
    <col min="9986" max="9986" width="4.28515625" style="502" customWidth="1"/>
    <col min="9987" max="9987" width="13.5703125" style="502" customWidth="1"/>
    <col min="9988" max="9988" width="65" style="502" customWidth="1"/>
    <col min="9989" max="9989" width="6.7109375" style="502" customWidth="1"/>
    <col min="9990" max="9990" width="8.42578125" style="502" customWidth="1"/>
    <col min="9991" max="9991" width="10" style="502" customWidth="1"/>
    <col min="9992" max="9992" width="15.7109375" style="502" customWidth="1"/>
    <col min="9993" max="9993" width="17" style="502" customWidth="1"/>
    <col min="9994" max="9994" width="14.7109375" style="502" customWidth="1"/>
    <col min="9995" max="9995" width="11.5703125" style="502" customWidth="1"/>
    <col min="9996" max="10240" width="9" style="502"/>
    <col min="10241" max="10241" width="4.140625" style="502" customWidth="1"/>
    <col min="10242" max="10242" width="4.28515625" style="502" customWidth="1"/>
    <col min="10243" max="10243" width="13.5703125" style="502" customWidth="1"/>
    <col min="10244" max="10244" width="65" style="502" customWidth="1"/>
    <col min="10245" max="10245" width="6.7109375" style="502" customWidth="1"/>
    <col min="10246" max="10246" width="8.42578125" style="502" customWidth="1"/>
    <col min="10247" max="10247" width="10" style="502" customWidth="1"/>
    <col min="10248" max="10248" width="15.7109375" style="502" customWidth="1"/>
    <col min="10249" max="10249" width="17" style="502" customWidth="1"/>
    <col min="10250" max="10250" width="14.7109375" style="502" customWidth="1"/>
    <col min="10251" max="10251" width="11.5703125" style="502" customWidth="1"/>
    <col min="10252" max="10496" width="9" style="502"/>
    <col min="10497" max="10497" width="4.140625" style="502" customWidth="1"/>
    <col min="10498" max="10498" width="4.28515625" style="502" customWidth="1"/>
    <col min="10499" max="10499" width="13.5703125" style="502" customWidth="1"/>
    <col min="10500" max="10500" width="65" style="502" customWidth="1"/>
    <col min="10501" max="10501" width="6.7109375" style="502" customWidth="1"/>
    <col min="10502" max="10502" width="8.42578125" style="502" customWidth="1"/>
    <col min="10503" max="10503" width="10" style="502" customWidth="1"/>
    <col min="10504" max="10504" width="15.7109375" style="502" customWidth="1"/>
    <col min="10505" max="10505" width="17" style="502" customWidth="1"/>
    <col min="10506" max="10506" width="14.7109375" style="502" customWidth="1"/>
    <col min="10507" max="10507" width="11.5703125" style="502" customWidth="1"/>
    <col min="10508" max="10752" width="9" style="502"/>
    <col min="10753" max="10753" width="4.140625" style="502" customWidth="1"/>
    <col min="10754" max="10754" width="4.28515625" style="502" customWidth="1"/>
    <col min="10755" max="10755" width="13.5703125" style="502" customWidth="1"/>
    <col min="10756" max="10756" width="65" style="502" customWidth="1"/>
    <col min="10757" max="10757" width="6.7109375" style="502" customWidth="1"/>
    <col min="10758" max="10758" width="8.42578125" style="502" customWidth="1"/>
    <col min="10759" max="10759" width="10" style="502" customWidth="1"/>
    <col min="10760" max="10760" width="15.7109375" style="502" customWidth="1"/>
    <col min="10761" max="10761" width="17" style="502" customWidth="1"/>
    <col min="10762" max="10762" width="14.7109375" style="502" customWidth="1"/>
    <col min="10763" max="10763" width="11.5703125" style="502" customWidth="1"/>
    <col min="10764" max="11008" width="9" style="502"/>
    <col min="11009" max="11009" width="4.140625" style="502" customWidth="1"/>
    <col min="11010" max="11010" width="4.28515625" style="502" customWidth="1"/>
    <col min="11011" max="11011" width="13.5703125" style="502" customWidth="1"/>
    <col min="11012" max="11012" width="65" style="502" customWidth="1"/>
    <col min="11013" max="11013" width="6.7109375" style="502" customWidth="1"/>
    <col min="11014" max="11014" width="8.42578125" style="502" customWidth="1"/>
    <col min="11015" max="11015" width="10" style="502" customWidth="1"/>
    <col min="11016" max="11016" width="15.7109375" style="502" customWidth="1"/>
    <col min="11017" max="11017" width="17" style="502" customWidth="1"/>
    <col min="11018" max="11018" width="14.7109375" style="502" customWidth="1"/>
    <col min="11019" max="11019" width="11.5703125" style="502" customWidth="1"/>
    <col min="11020" max="11264" width="9" style="502"/>
    <col min="11265" max="11265" width="4.140625" style="502" customWidth="1"/>
    <col min="11266" max="11266" width="4.28515625" style="502" customWidth="1"/>
    <col min="11267" max="11267" width="13.5703125" style="502" customWidth="1"/>
    <col min="11268" max="11268" width="65" style="502" customWidth="1"/>
    <col min="11269" max="11269" width="6.7109375" style="502" customWidth="1"/>
    <col min="11270" max="11270" width="8.42578125" style="502" customWidth="1"/>
    <col min="11271" max="11271" width="10" style="502" customWidth="1"/>
    <col min="11272" max="11272" width="15.7109375" style="502" customWidth="1"/>
    <col min="11273" max="11273" width="17" style="502" customWidth="1"/>
    <col min="11274" max="11274" width="14.7109375" style="502" customWidth="1"/>
    <col min="11275" max="11275" width="11.5703125" style="502" customWidth="1"/>
    <col min="11276" max="11520" width="9" style="502"/>
    <col min="11521" max="11521" width="4.140625" style="502" customWidth="1"/>
    <col min="11522" max="11522" width="4.28515625" style="502" customWidth="1"/>
    <col min="11523" max="11523" width="13.5703125" style="502" customWidth="1"/>
    <col min="11524" max="11524" width="65" style="502" customWidth="1"/>
    <col min="11525" max="11525" width="6.7109375" style="502" customWidth="1"/>
    <col min="11526" max="11526" width="8.42578125" style="502" customWidth="1"/>
    <col min="11527" max="11527" width="10" style="502" customWidth="1"/>
    <col min="11528" max="11528" width="15.7109375" style="502" customWidth="1"/>
    <col min="11529" max="11529" width="17" style="502" customWidth="1"/>
    <col min="11530" max="11530" width="14.7109375" style="502" customWidth="1"/>
    <col min="11531" max="11531" width="11.5703125" style="502" customWidth="1"/>
    <col min="11532" max="11776" width="9" style="502"/>
    <col min="11777" max="11777" width="4.140625" style="502" customWidth="1"/>
    <col min="11778" max="11778" width="4.28515625" style="502" customWidth="1"/>
    <col min="11779" max="11779" width="13.5703125" style="502" customWidth="1"/>
    <col min="11780" max="11780" width="65" style="502" customWidth="1"/>
    <col min="11781" max="11781" width="6.7109375" style="502" customWidth="1"/>
    <col min="11782" max="11782" width="8.42578125" style="502" customWidth="1"/>
    <col min="11783" max="11783" width="10" style="502" customWidth="1"/>
    <col min="11784" max="11784" width="15.7109375" style="502" customWidth="1"/>
    <col min="11785" max="11785" width="17" style="502" customWidth="1"/>
    <col min="11786" max="11786" width="14.7109375" style="502" customWidth="1"/>
    <col min="11787" max="11787" width="11.5703125" style="502" customWidth="1"/>
    <col min="11788" max="12032" width="9" style="502"/>
    <col min="12033" max="12033" width="4.140625" style="502" customWidth="1"/>
    <col min="12034" max="12034" width="4.28515625" style="502" customWidth="1"/>
    <col min="12035" max="12035" width="13.5703125" style="502" customWidth="1"/>
    <col min="12036" max="12036" width="65" style="502" customWidth="1"/>
    <col min="12037" max="12037" width="6.7109375" style="502" customWidth="1"/>
    <col min="12038" max="12038" width="8.42578125" style="502" customWidth="1"/>
    <col min="12039" max="12039" width="10" style="502" customWidth="1"/>
    <col min="12040" max="12040" width="15.7109375" style="502" customWidth="1"/>
    <col min="12041" max="12041" width="17" style="502" customWidth="1"/>
    <col min="12042" max="12042" width="14.7109375" style="502" customWidth="1"/>
    <col min="12043" max="12043" width="11.5703125" style="502" customWidth="1"/>
    <col min="12044" max="12288" width="9" style="502"/>
    <col min="12289" max="12289" width="4.140625" style="502" customWidth="1"/>
    <col min="12290" max="12290" width="4.28515625" style="502" customWidth="1"/>
    <col min="12291" max="12291" width="13.5703125" style="502" customWidth="1"/>
    <col min="12292" max="12292" width="65" style="502" customWidth="1"/>
    <col min="12293" max="12293" width="6.7109375" style="502" customWidth="1"/>
    <col min="12294" max="12294" width="8.42578125" style="502" customWidth="1"/>
    <col min="12295" max="12295" width="10" style="502" customWidth="1"/>
    <col min="12296" max="12296" width="15.7109375" style="502" customWidth="1"/>
    <col min="12297" max="12297" width="17" style="502" customWidth="1"/>
    <col min="12298" max="12298" width="14.7109375" style="502" customWidth="1"/>
    <col min="12299" max="12299" width="11.5703125" style="502" customWidth="1"/>
    <col min="12300" max="12544" width="9" style="502"/>
    <col min="12545" max="12545" width="4.140625" style="502" customWidth="1"/>
    <col min="12546" max="12546" width="4.28515625" style="502" customWidth="1"/>
    <col min="12547" max="12547" width="13.5703125" style="502" customWidth="1"/>
    <col min="12548" max="12548" width="65" style="502" customWidth="1"/>
    <col min="12549" max="12549" width="6.7109375" style="502" customWidth="1"/>
    <col min="12550" max="12550" width="8.42578125" style="502" customWidth="1"/>
    <col min="12551" max="12551" width="10" style="502" customWidth="1"/>
    <col min="12552" max="12552" width="15.7109375" style="502" customWidth="1"/>
    <col min="12553" max="12553" width="17" style="502" customWidth="1"/>
    <col min="12554" max="12554" width="14.7109375" style="502" customWidth="1"/>
    <col min="12555" max="12555" width="11.5703125" style="502" customWidth="1"/>
    <col min="12556" max="12800" width="9" style="502"/>
    <col min="12801" max="12801" width="4.140625" style="502" customWidth="1"/>
    <col min="12802" max="12802" width="4.28515625" style="502" customWidth="1"/>
    <col min="12803" max="12803" width="13.5703125" style="502" customWidth="1"/>
    <col min="12804" max="12804" width="65" style="502" customWidth="1"/>
    <col min="12805" max="12805" width="6.7109375" style="502" customWidth="1"/>
    <col min="12806" max="12806" width="8.42578125" style="502" customWidth="1"/>
    <col min="12807" max="12807" width="10" style="502" customWidth="1"/>
    <col min="12808" max="12808" width="15.7109375" style="502" customWidth="1"/>
    <col min="12809" max="12809" width="17" style="502" customWidth="1"/>
    <col min="12810" max="12810" width="14.7109375" style="502" customWidth="1"/>
    <col min="12811" max="12811" width="11.5703125" style="502" customWidth="1"/>
    <col min="12812" max="13056" width="9" style="502"/>
    <col min="13057" max="13057" width="4.140625" style="502" customWidth="1"/>
    <col min="13058" max="13058" width="4.28515625" style="502" customWidth="1"/>
    <col min="13059" max="13059" width="13.5703125" style="502" customWidth="1"/>
    <col min="13060" max="13060" width="65" style="502" customWidth="1"/>
    <col min="13061" max="13061" width="6.7109375" style="502" customWidth="1"/>
    <col min="13062" max="13062" width="8.42578125" style="502" customWidth="1"/>
    <col min="13063" max="13063" width="10" style="502" customWidth="1"/>
    <col min="13064" max="13064" width="15.7109375" style="502" customWidth="1"/>
    <col min="13065" max="13065" width="17" style="502" customWidth="1"/>
    <col min="13066" max="13066" width="14.7109375" style="502" customWidth="1"/>
    <col min="13067" max="13067" width="11.5703125" style="502" customWidth="1"/>
    <col min="13068" max="13312" width="9" style="502"/>
    <col min="13313" max="13313" width="4.140625" style="502" customWidth="1"/>
    <col min="13314" max="13314" width="4.28515625" style="502" customWidth="1"/>
    <col min="13315" max="13315" width="13.5703125" style="502" customWidth="1"/>
    <col min="13316" max="13316" width="65" style="502" customWidth="1"/>
    <col min="13317" max="13317" width="6.7109375" style="502" customWidth="1"/>
    <col min="13318" max="13318" width="8.42578125" style="502" customWidth="1"/>
    <col min="13319" max="13319" width="10" style="502" customWidth="1"/>
    <col min="13320" max="13320" width="15.7109375" style="502" customWidth="1"/>
    <col min="13321" max="13321" width="17" style="502" customWidth="1"/>
    <col min="13322" max="13322" width="14.7109375" style="502" customWidth="1"/>
    <col min="13323" max="13323" width="11.5703125" style="502" customWidth="1"/>
    <col min="13324" max="13568" width="9" style="502"/>
    <col min="13569" max="13569" width="4.140625" style="502" customWidth="1"/>
    <col min="13570" max="13570" width="4.28515625" style="502" customWidth="1"/>
    <col min="13571" max="13571" width="13.5703125" style="502" customWidth="1"/>
    <col min="13572" max="13572" width="65" style="502" customWidth="1"/>
    <col min="13573" max="13573" width="6.7109375" style="502" customWidth="1"/>
    <col min="13574" max="13574" width="8.42578125" style="502" customWidth="1"/>
    <col min="13575" max="13575" width="10" style="502" customWidth="1"/>
    <col min="13576" max="13576" width="15.7109375" style="502" customWidth="1"/>
    <col min="13577" max="13577" width="17" style="502" customWidth="1"/>
    <col min="13578" max="13578" width="14.7109375" style="502" customWidth="1"/>
    <col min="13579" max="13579" width="11.5703125" style="502" customWidth="1"/>
    <col min="13580" max="13824" width="9" style="502"/>
    <col min="13825" max="13825" width="4.140625" style="502" customWidth="1"/>
    <col min="13826" max="13826" width="4.28515625" style="502" customWidth="1"/>
    <col min="13827" max="13827" width="13.5703125" style="502" customWidth="1"/>
    <col min="13828" max="13828" width="65" style="502" customWidth="1"/>
    <col min="13829" max="13829" width="6.7109375" style="502" customWidth="1"/>
    <col min="13830" max="13830" width="8.42578125" style="502" customWidth="1"/>
    <col min="13831" max="13831" width="10" style="502" customWidth="1"/>
    <col min="13832" max="13832" width="15.7109375" style="502" customWidth="1"/>
    <col min="13833" max="13833" width="17" style="502" customWidth="1"/>
    <col min="13834" max="13834" width="14.7109375" style="502" customWidth="1"/>
    <col min="13835" max="13835" width="11.5703125" style="502" customWidth="1"/>
    <col min="13836" max="14080" width="9" style="502"/>
    <col min="14081" max="14081" width="4.140625" style="502" customWidth="1"/>
    <col min="14082" max="14082" width="4.28515625" style="502" customWidth="1"/>
    <col min="14083" max="14083" width="13.5703125" style="502" customWidth="1"/>
    <col min="14084" max="14084" width="65" style="502" customWidth="1"/>
    <col min="14085" max="14085" width="6.7109375" style="502" customWidth="1"/>
    <col min="14086" max="14086" width="8.42578125" style="502" customWidth="1"/>
    <col min="14087" max="14087" width="10" style="502" customWidth="1"/>
    <col min="14088" max="14088" width="15.7109375" style="502" customWidth="1"/>
    <col min="14089" max="14089" width="17" style="502" customWidth="1"/>
    <col min="14090" max="14090" width="14.7109375" style="502" customWidth="1"/>
    <col min="14091" max="14091" width="11.5703125" style="502" customWidth="1"/>
    <col min="14092" max="14336" width="9" style="502"/>
    <col min="14337" max="14337" width="4.140625" style="502" customWidth="1"/>
    <col min="14338" max="14338" width="4.28515625" style="502" customWidth="1"/>
    <col min="14339" max="14339" width="13.5703125" style="502" customWidth="1"/>
    <col min="14340" max="14340" width="65" style="502" customWidth="1"/>
    <col min="14341" max="14341" width="6.7109375" style="502" customWidth="1"/>
    <col min="14342" max="14342" width="8.42578125" style="502" customWidth="1"/>
    <col min="14343" max="14343" width="10" style="502" customWidth="1"/>
    <col min="14344" max="14344" width="15.7109375" style="502" customWidth="1"/>
    <col min="14345" max="14345" width="17" style="502" customWidth="1"/>
    <col min="14346" max="14346" width="14.7109375" style="502" customWidth="1"/>
    <col min="14347" max="14347" width="11.5703125" style="502" customWidth="1"/>
    <col min="14348" max="14592" width="9" style="502"/>
    <col min="14593" max="14593" width="4.140625" style="502" customWidth="1"/>
    <col min="14594" max="14594" width="4.28515625" style="502" customWidth="1"/>
    <col min="14595" max="14595" width="13.5703125" style="502" customWidth="1"/>
    <col min="14596" max="14596" width="65" style="502" customWidth="1"/>
    <col min="14597" max="14597" width="6.7109375" style="502" customWidth="1"/>
    <col min="14598" max="14598" width="8.42578125" style="502" customWidth="1"/>
    <col min="14599" max="14599" width="10" style="502" customWidth="1"/>
    <col min="14600" max="14600" width="15.7109375" style="502" customWidth="1"/>
    <col min="14601" max="14601" width="17" style="502" customWidth="1"/>
    <col min="14602" max="14602" width="14.7109375" style="502" customWidth="1"/>
    <col min="14603" max="14603" width="11.5703125" style="502" customWidth="1"/>
    <col min="14604" max="14848" width="9" style="502"/>
    <col min="14849" max="14849" width="4.140625" style="502" customWidth="1"/>
    <col min="14850" max="14850" width="4.28515625" style="502" customWidth="1"/>
    <col min="14851" max="14851" width="13.5703125" style="502" customWidth="1"/>
    <col min="14852" max="14852" width="65" style="502" customWidth="1"/>
    <col min="14853" max="14853" width="6.7109375" style="502" customWidth="1"/>
    <col min="14854" max="14854" width="8.42578125" style="502" customWidth="1"/>
    <col min="14855" max="14855" width="10" style="502" customWidth="1"/>
    <col min="14856" max="14856" width="15.7109375" style="502" customWidth="1"/>
    <col min="14857" max="14857" width="17" style="502" customWidth="1"/>
    <col min="14858" max="14858" width="14.7109375" style="502" customWidth="1"/>
    <col min="14859" max="14859" width="11.5703125" style="502" customWidth="1"/>
    <col min="14860" max="15104" width="9" style="502"/>
    <col min="15105" max="15105" width="4.140625" style="502" customWidth="1"/>
    <col min="15106" max="15106" width="4.28515625" style="502" customWidth="1"/>
    <col min="15107" max="15107" width="13.5703125" style="502" customWidth="1"/>
    <col min="15108" max="15108" width="65" style="502" customWidth="1"/>
    <col min="15109" max="15109" width="6.7109375" style="502" customWidth="1"/>
    <col min="15110" max="15110" width="8.42578125" style="502" customWidth="1"/>
    <col min="15111" max="15111" width="10" style="502" customWidth="1"/>
    <col min="15112" max="15112" width="15.7109375" style="502" customWidth="1"/>
    <col min="15113" max="15113" width="17" style="502" customWidth="1"/>
    <col min="15114" max="15114" width="14.7109375" style="502" customWidth="1"/>
    <col min="15115" max="15115" width="11.5703125" style="502" customWidth="1"/>
    <col min="15116" max="15360" width="9" style="502"/>
    <col min="15361" max="15361" width="4.140625" style="502" customWidth="1"/>
    <col min="15362" max="15362" width="4.28515625" style="502" customWidth="1"/>
    <col min="15363" max="15363" width="13.5703125" style="502" customWidth="1"/>
    <col min="15364" max="15364" width="65" style="502" customWidth="1"/>
    <col min="15365" max="15365" width="6.7109375" style="502" customWidth="1"/>
    <col min="15366" max="15366" width="8.42578125" style="502" customWidth="1"/>
    <col min="15367" max="15367" width="10" style="502" customWidth="1"/>
    <col min="15368" max="15368" width="15.7109375" style="502" customWidth="1"/>
    <col min="15369" max="15369" width="17" style="502" customWidth="1"/>
    <col min="15370" max="15370" width="14.7109375" style="502" customWidth="1"/>
    <col min="15371" max="15371" width="11.5703125" style="502" customWidth="1"/>
    <col min="15372" max="15616" width="9" style="502"/>
    <col min="15617" max="15617" width="4.140625" style="502" customWidth="1"/>
    <col min="15618" max="15618" width="4.28515625" style="502" customWidth="1"/>
    <col min="15619" max="15619" width="13.5703125" style="502" customWidth="1"/>
    <col min="15620" max="15620" width="65" style="502" customWidth="1"/>
    <col min="15621" max="15621" width="6.7109375" style="502" customWidth="1"/>
    <col min="15622" max="15622" width="8.42578125" style="502" customWidth="1"/>
    <col min="15623" max="15623" width="10" style="502" customWidth="1"/>
    <col min="15624" max="15624" width="15.7109375" style="502" customWidth="1"/>
    <col min="15625" max="15625" width="17" style="502" customWidth="1"/>
    <col min="15626" max="15626" width="14.7109375" style="502" customWidth="1"/>
    <col min="15627" max="15627" width="11.5703125" style="502" customWidth="1"/>
    <col min="15628" max="15872" width="9" style="502"/>
    <col min="15873" max="15873" width="4.140625" style="502" customWidth="1"/>
    <col min="15874" max="15874" width="4.28515625" style="502" customWidth="1"/>
    <col min="15875" max="15875" width="13.5703125" style="502" customWidth="1"/>
    <col min="15876" max="15876" width="65" style="502" customWidth="1"/>
    <col min="15877" max="15877" width="6.7109375" style="502" customWidth="1"/>
    <col min="15878" max="15878" width="8.42578125" style="502" customWidth="1"/>
    <col min="15879" max="15879" width="10" style="502" customWidth="1"/>
    <col min="15880" max="15880" width="15.7109375" style="502" customWidth="1"/>
    <col min="15881" max="15881" width="17" style="502" customWidth="1"/>
    <col min="15882" max="15882" width="14.7109375" style="502" customWidth="1"/>
    <col min="15883" max="15883" width="11.5703125" style="502" customWidth="1"/>
    <col min="15884" max="16128" width="9" style="502"/>
    <col min="16129" max="16129" width="4.140625" style="502" customWidth="1"/>
    <col min="16130" max="16130" width="4.28515625" style="502" customWidth="1"/>
    <col min="16131" max="16131" width="13.5703125" style="502" customWidth="1"/>
    <col min="16132" max="16132" width="65" style="502" customWidth="1"/>
    <col min="16133" max="16133" width="6.7109375" style="502" customWidth="1"/>
    <col min="16134" max="16134" width="8.42578125" style="502" customWidth="1"/>
    <col min="16135" max="16135" width="10" style="502" customWidth="1"/>
    <col min="16136" max="16136" width="15.7109375" style="502" customWidth="1"/>
    <col min="16137" max="16137" width="17" style="502" customWidth="1"/>
    <col min="16138" max="16138" width="14.7109375" style="502" customWidth="1"/>
    <col min="16139" max="16139" width="11.5703125" style="502" customWidth="1"/>
    <col min="16140" max="16384" width="9" style="502"/>
  </cols>
  <sheetData>
    <row r="1" spans="1:125" s="314" customFormat="1" ht="20.25" customHeight="1">
      <c r="A1" s="119" t="s">
        <v>839</v>
      </c>
      <c r="B1" s="22"/>
      <c r="C1" s="22"/>
      <c r="D1" s="22"/>
      <c r="E1" s="22"/>
      <c r="F1" s="22"/>
      <c r="G1" s="22"/>
      <c r="H1" s="22"/>
      <c r="I1" s="313"/>
      <c r="J1" s="317"/>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c r="AS1" s="313"/>
      <c r="AT1" s="313"/>
      <c r="AU1" s="313"/>
      <c r="AV1" s="313"/>
      <c r="AW1" s="313"/>
      <c r="AX1" s="313"/>
      <c r="AY1" s="313"/>
      <c r="AZ1" s="313"/>
      <c r="BA1" s="313"/>
      <c r="BB1" s="313"/>
      <c r="BC1" s="313"/>
      <c r="BD1" s="313"/>
      <c r="BE1" s="313"/>
      <c r="BF1" s="313"/>
      <c r="BG1" s="313"/>
      <c r="BH1" s="313"/>
      <c r="BI1" s="313"/>
      <c r="BJ1" s="313"/>
      <c r="BK1" s="313"/>
      <c r="BL1" s="313"/>
      <c r="BM1" s="313"/>
      <c r="BN1" s="313"/>
      <c r="BO1" s="313"/>
      <c r="BP1" s="313"/>
      <c r="BQ1" s="313"/>
      <c r="BR1" s="313"/>
      <c r="BS1" s="313"/>
      <c r="BT1" s="313"/>
      <c r="BU1" s="313"/>
      <c r="BV1" s="313"/>
      <c r="BW1" s="313"/>
      <c r="BX1" s="313"/>
      <c r="BY1" s="313"/>
      <c r="BZ1" s="313"/>
      <c r="CA1" s="313"/>
      <c r="CB1" s="313"/>
      <c r="CC1" s="313"/>
      <c r="CD1" s="313"/>
      <c r="CE1" s="313"/>
      <c r="CF1" s="313"/>
      <c r="CG1" s="313"/>
      <c r="CH1" s="313"/>
      <c r="CI1" s="313"/>
      <c r="CJ1" s="313"/>
      <c r="CK1" s="313"/>
      <c r="CL1" s="313"/>
      <c r="CM1" s="313"/>
      <c r="CN1" s="313"/>
      <c r="CO1" s="313"/>
      <c r="CP1" s="313"/>
      <c r="CQ1" s="313"/>
      <c r="CR1" s="313"/>
      <c r="CS1" s="313"/>
      <c r="CT1" s="313"/>
      <c r="CU1" s="313"/>
      <c r="CV1" s="313"/>
      <c r="CW1" s="313"/>
      <c r="CX1" s="313"/>
      <c r="CY1" s="313"/>
      <c r="CZ1" s="313"/>
      <c r="DA1" s="313"/>
      <c r="DB1" s="313"/>
      <c r="DC1" s="313"/>
      <c r="DD1" s="313"/>
      <c r="DE1" s="313"/>
      <c r="DF1" s="313"/>
      <c r="DG1" s="313"/>
      <c r="DH1" s="313"/>
      <c r="DI1" s="313"/>
      <c r="DJ1" s="313"/>
      <c r="DK1" s="313"/>
      <c r="DL1" s="313"/>
      <c r="DM1" s="313"/>
      <c r="DN1" s="313"/>
      <c r="DO1" s="313"/>
      <c r="DP1" s="313"/>
      <c r="DQ1" s="313"/>
      <c r="DR1" s="313"/>
      <c r="DS1" s="313"/>
      <c r="DT1" s="313"/>
      <c r="DU1" s="313"/>
    </row>
    <row r="2" spans="1:125" s="314" customFormat="1" ht="13.5" customHeight="1">
      <c r="A2" s="142" t="s">
        <v>731</v>
      </c>
      <c r="B2" s="315"/>
      <c r="C2" s="315"/>
      <c r="D2" s="315"/>
      <c r="E2" s="23"/>
      <c r="F2" s="23"/>
      <c r="G2" s="22"/>
      <c r="H2" s="22"/>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c r="AS2" s="313"/>
      <c r="AT2" s="313"/>
      <c r="AU2" s="313"/>
      <c r="AV2" s="313"/>
      <c r="AW2" s="313"/>
      <c r="AX2" s="313"/>
      <c r="AY2" s="313"/>
      <c r="AZ2" s="313"/>
      <c r="BA2" s="313"/>
      <c r="BB2" s="313"/>
      <c r="BC2" s="313"/>
      <c r="BD2" s="313"/>
      <c r="BE2" s="313"/>
      <c r="BF2" s="313"/>
      <c r="BG2" s="313"/>
      <c r="BH2" s="313"/>
      <c r="BI2" s="313"/>
      <c r="BJ2" s="313"/>
      <c r="BK2" s="313"/>
      <c r="BL2" s="313"/>
      <c r="BM2" s="313"/>
      <c r="BN2" s="313"/>
      <c r="BO2" s="313"/>
      <c r="BP2" s="313"/>
      <c r="BQ2" s="313"/>
      <c r="BR2" s="313"/>
      <c r="BS2" s="313"/>
      <c r="BT2" s="313"/>
      <c r="BU2" s="313"/>
      <c r="BV2" s="313"/>
      <c r="BW2" s="313"/>
      <c r="BX2" s="313"/>
      <c r="BY2" s="313"/>
      <c r="BZ2" s="313"/>
      <c r="CA2" s="313"/>
      <c r="CB2" s="313"/>
      <c r="CC2" s="313"/>
      <c r="CD2" s="313"/>
      <c r="CE2" s="313"/>
      <c r="CF2" s="313"/>
      <c r="CG2" s="313"/>
      <c r="CH2" s="313"/>
      <c r="CI2" s="313"/>
      <c r="CJ2" s="313"/>
      <c r="CK2" s="313"/>
      <c r="CL2" s="313"/>
      <c r="CM2" s="313"/>
      <c r="CN2" s="313"/>
      <c r="CO2" s="313"/>
      <c r="CP2" s="313"/>
      <c r="CQ2" s="313"/>
      <c r="CR2" s="313"/>
      <c r="CS2" s="313"/>
      <c r="CT2" s="313"/>
      <c r="CU2" s="313"/>
      <c r="CV2" s="313"/>
      <c r="CW2" s="313"/>
      <c r="CX2" s="313"/>
      <c r="CY2" s="313"/>
      <c r="CZ2" s="313"/>
      <c r="DA2" s="313"/>
      <c r="DB2" s="313"/>
      <c r="DC2" s="313"/>
      <c r="DD2" s="313"/>
      <c r="DE2" s="313"/>
      <c r="DF2" s="313"/>
      <c r="DG2" s="313"/>
      <c r="DH2" s="313"/>
      <c r="DI2" s="313"/>
      <c r="DJ2" s="313"/>
      <c r="DK2" s="313"/>
      <c r="DL2" s="313"/>
      <c r="DM2" s="313"/>
      <c r="DN2" s="313"/>
      <c r="DO2" s="313"/>
      <c r="DP2" s="313"/>
      <c r="DQ2" s="313"/>
      <c r="DR2" s="313"/>
      <c r="DS2" s="313"/>
      <c r="DT2" s="313"/>
      <c r="DU2" s="313"/>
    </row>
    <row r="3" spans="1:125" s="314" customFormat="1" ht="12.75" customHeight="1">
      <c r="A3" s="142" t="s">
        <v>350</v>
      </c>
      <c r="B3" s="315"/>
      <c r="C3" s="315"/>
      <c r="D3" s="315"/>
      <c r="E3" s="23"/>
      <c r="F3" s="23"/>
      <c r="G3" s="22"/>
      <c r="H3" s="22"/>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c r="AP3" s="313"/>
      <c r="AQ3" s="313"/>
      <c r="AR3" s="313"/>
      <c r="AS3" s="313"/>
      <c r="AT3" s="313"/>
      <c r="AU3" s="313"/>
      <c r="AV3" s="313"/>
      <c r="AW3" s="313"/>
      <c r="AX3" s="313"/>
      <c r="AY3" s="313"/>
      <c r="AZ3" s="313"/>
      <c r="BA3" s="313"/>
      <c r="BB3" s="313"/>
      <c r="BC3" s="313"/>
      <c r="BD3" s="313"/>
      <c r="BE3" s="313"/>
      <c r="BF3" s="313"/>
      <c r="BG3" s="313"/>
      <c r="BH3" s="313"/>
      <c r="BI3" s="313"/>
      <c r="BJ3" s="313"/>
      <c r="BK3" s="313"/>
      <c r="BL3" s="313"/>
      <c r="BM3" s="313"/>
      <c r="BN3" s="313"/>
      <c r="BO3" s="313"/>
      <c r="BP3" s="313"/>
      <c r="BQ3" s="313"/>
      <c r="BR3" s="313"/>
      <c r="BS3" s="313"/>
      <c r="BT3" s="313"/>
      <c r="BU3" s="313"/>
      <c r="BV3" s="313"/>
      <c r="BW3" s="313"/>
      <c r="BX3" s="313"/>
      <c r="BY3" s="313"/>
      <c r="BZ3" s="313"/>
      <c r="CA3" s="313"/>
      <c r="CB3" s="313"/>
      <c r="CC3" s="313"/>
      <c r="CD3" s="313"/>
      <c r="CE3" s="313"/>
      <c r="CF3" s="313"/>
      <c r="CG3" s="313"/>
      <c r="CH3" s="313"/>
      <c r="CI3" s="313"/>
      <c r="CJ3" s="313"/>
      <c r="CK3" s="313"/>
      <c r="CL3" s="313"/>
      <c r="CM3" s="313"/>
      <c r="CN3" s="313"/>
      <c r="CO3" s="313"/>
      <c r="CP3" s="313"/>
      <c r="CQ3" s="313"/>
      <c r="CR3" s="313"/>
      <c r="CS3" s="313"/>
      <c r="CT3" s="313"/>
      <c r="CU3" s="313"/>
      <c r="CV3" s="313"/>
      <c r="CW3" s="313"/>
      <c r="CX3" s="313"/>
      <c r="CY3" s="313"/>
      <c r="CZ3" s="313"/>
      <c r="DA3" s="313"/>
      <c r="DB3" s="313"/>
      <c r="DC3" s="313"/>
      <c r="DD3" s="313"/>
      <c r="DE3" s="313"/>
      <c r="DF3" s="313"/>
      <c r="DG3" s="313"/>
      <c r="DH3" s="313"/>
      <c r="DI3" s="313"/>
      <c r="DJ3" s="313"/>
      <c r="DK3" s="313"/>
      <c r="DL3" s="313"/>
      <c r="DM3" s="313"/>
      <c r="DN3" s="313"/>
      <c r="DO3" s="313"/>
      <c r="DP3" s="313"/>
      <c r="DQ3" s="313"/>
      <c r="DR3" s="313"/>
      <c r="DS3" s="313"/>
      <c r="DT3" s="313"/>
      <c r="DU3" s="313"/>
    </row>
    <row r="4" spans="1:125" s="314" customFormat="1" ht="12.75" customHeight="1">
      <c r="A4" s="27" t="s">
        <v>91</v>
      </c>
      <c r="B4" s="316"/>
      <c r="C4" s="316"/>
      <c r="D4" s="316"/>
      <c r="E4" s="23"/>
      <c r="F4" s="23"/>
      <c r="G4" s="22"/>
      <c r="H4" s="22"/>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c r="AQ4" s="313"/>
      <c r="AR4" s="313"/>
      <c r="AS4" s="313"/>
      <c r="AT4" s="313"/>
      <c r="AU4" s="313"/>
      <c r="AV4" s="313"/>
      <c r="AW4" s="313"/>
      <c r="AX4" s="313"/>
      <c r="AY4" s="313"/>
      <c r="AZ4" s="313"/>
      <c r="BA4" s="313"/>
      <c r="BB4" s="313"/>
      <c r="BC4" s="313"/>
      <c r="BD4" s="313"/>
      <c r="BE4" s="313"/>
      <c r="BF4" s="313"/>
      <c r="BG4" s="313"/>
      <c r="BH4" s="313"/>
      <c r="BI4" s="313"/>
      <c r="BJ4" s="313"/>
      <c r="BK4" s="313"/>
      <c r="BL4" s="313"/>
      <c r="BM4" s="313"/>
      <c r="BN4" s="313"/>
      <c r="BO4" s="313"/>
      <c r="BP4" s="313"/>
      <c r="BQ4" s="313"/>
      <c r="BR4" s="313"/>
      <c r="BS4" s="313"/>
      <c r="BT4" s="313"/>
      <c r="BU4" s="313"/>
      <c r="BV4" s="313"/>
      <c r="BW4" s="313"/>
      <c r="BX4" s="313"/>
      <c r="BY4" s="313"/>
      <c r="BZ4" s="313"/>
      <c r="CA4" s="313"/>
      <c r="CB4" s="313"/>
      <c r="CC4" s="313"/>
      <c r="CD4" s="313"/>
      <c r="CE4" s="313"/>
      <c r="CF4" s="313"/>
      <c r="CG4" s="313"/>
      <c r="CH4" s="313"/>
      <c r="CI4" s="313"/>
      <c r="CJ4" s="313"/>
      <c r="CK4" s="313"/>
      <c r="CL4" s="313"/>
      <c r="CM4" s="313"/>
      <c r="CN4" s="313"/>
      <c r="CO4" s="313"/>
      <c r="CP4" s="313"/>
      <c r="CQ4" s="313"/>
      <c r="CR4" s="313"/>
      <c r="CS4" s="313"/>
      <c r="CT4" s="313"/>
      <c r="CU4" s="313"/>
      <c r="CV4" s="313"/>
      <c r="CW4" s="313"/>
      <c r="CX4" s="313"/>
      <c r="CY4" s="313"/>
      <c r="CZ4" s="313"/>
      <c r="DA4" s="313"/>
      <c r="DB4" s="313"/>
      <c r="DC4" s="313"/>
      <c r="DD4" s="313"/>
      <c r="DE4" s="313"/>
      <c r="DF4" s="313"/>
      <c r="DG4" s="313"/>
      <c r="DH4" s="313"/>
      <c r="DI4" s="313"/>
      <c r="DJ4" s="313"/>
      <c r="DK4" s="313"/>
      <c r="DL4" s="313"/>
      <c r="DM4" s="313"/>
      <c r="DN4" s="313"/>
      <c r="DO4" s="313"/>
      <c r="DP4" s="313"/>
      <c r="DQ4" s="313"/>
      <c r="DR4" s="313"/>
      <c r="DS4" s="313"/>
      <c r="DT4" s="313"/>
      <c r="DU4" s="313"/>
    </row>
    <row r="5" spans="1:125" s="314" customFormat="1" ht="12.75" customHeight="1">
      <c r="A5" s="23" t="s">
        <v>167</v>
      </c>
      <c r="B5" s="23"/>
      <c r="C5" s="23"/>
      <c r="D5" s="23"/>
      <c r="E5" s="23"/>
      <c r="F5" s="23"/>
      <c r="G5" s="22"/>
      <c r="H5" s="22"/>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c r="AW5" s="313"/>
      <c r="AX5" s="313"/>
      <c r="AY5" s="313"/>
      <c r="AZ5" s="313"/>
      <c r="BA5" s="313"/>
      <c r="BB5" s="313"/>
      <c r="BC5" s="313"/>
      <c r="BD5" s="313"/>
      <c r="BE5" s="313"/>
      <c r="BF5" s="313"/>
      <c r="BG5" s="313"/>
      <c r="BH5" s="313"/>
      <c r="BI5" s="313"/>
      <c r="BJ5" s="313"/>
      <c r="BK5" s="313"/>
      <c r="BL5" s="313"/>
      <c r="BM5" s="313"/>
      <c r="BN5" s="313"/>
      <c r="BO5" s="313"/>
      <c r="BP5" s="313"/>
      <c r="BQ5" s="313"/>
      <c r="BR5" s="313"/>
      <c r="BS5" s="313"/>
      <c r="BT5" s="313"/>
      <c r="BU5" s="313"/>
      <c r="BV5" s="313"/>
      <c r="BW5" s="313"/>
      <c r="BX5" s="313"/>
      <c r="BY5" s="313"/>
      <c r="BZ5" s="313"/>
      <c r="CA5" s="313"/>
      <c r="CB5" s="313"/>
      <c r="CC5" s="313"/>
      <c r="CD5" s="313"/>
      <c r="CE5" s="313"/>
      <c r="CF5" s="313"/>
      <c r="CG5" s="313"/>
      <c r="CH5" s="313"/>
      <c r="CI5" s="313"/>
      <c r="CJ5" s="313"/>
      <c r="CK5" s="313"/>
      <c r="CL5" s="313"/>
      <c r="CM5" s="313"/>
      <c r="CN5" s="313"/>
      <c r="CO5" s="313"/>
      <c r="CP5" s="313"/>
      <c r="CQ5" s="313"/>
      <c r="CR5" s="313"/>
      <c r="CS5" s="313"/>
      <c r="CT5" s="313"/>
      <c r="CU5" s="313"/>
      <c r="CV5" s="313"/>
      <c r="CW5" s="313"/>
      <c r="CX5" s="313"/>
      <c r="CY5" s="313"/>
      <c r="CZ5" s="313"/>
      <c r="DA5" s="313"/>
      <c r="DB5" s="313"/>
      <c r="DC5" s="313"/>
      <c r="DD5" s="313"/>
      <c r="DE5" s="313"/>
      <c r="DF5" s="313"/>
      <c r="DG5" s="313"/>
      <c r="DH5" s="313"/>
      <c r="DI5" s="313"/>
      <c r="DJ5" s="313"/>
      <c r="DK5" s="313"/>
      <c r="DL5" s="313"/>
      <c r="DM5" s="313"/>
      <c r="DN5" s="313"/>
      <c r="DO5" s="313"/>
      <c r="DP5" s="313"/>
      <c r="DQ5" s="313"/>
      <c r="DR5" s="313"/>
      <c r="DS5" s="313"/>
      <c r="DT5" s="313"/>
      <c r="DU5" s="313"/>
    </row>
    <row r="6" spans="1:125" s="314" customFormat="1" ht="12.75" customHeight="1">
      <c r="A6" s="23"/>
      <c r="B6" s="23"/>
      <c r="C6" s="23"/>
      <c r="D6" s="23"/>
      <c r="E6" s="23"/>
      <c r="F6" s="23"/>
      <c r="G6" s="22"/>
      <c r="H6" s="22"/>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c r="AP6" s="313"/>
      <c r="AQ6" s="313"/>
      <c r="AR6" s="313"/>
      <c r="AS6" s="313"/>
      <c r="AT6" s="313"/>
      <c r="AU6" s="313"/>
      <c r="AV6" s="313"/>
      <c r="AW6" s="313"/>
      <c r="AX6" s="313"/>
      <c r="AY6" s="313"/>
      <c r="AZ6" s="313"/>
      <c r="BA6" s="313"/>
      <c r="BB6" s="313"/>
      <c r="BC6" s="313"/>
      <c r="BD6" s="313"/>
      <c r="BE6" s="313"/>
      <c r="BF6" s="313"/>
      <c r="BG6" s="313"/>
      <c r="BH6" s="313"/>
      <c r="BI6" s="313"/>
      <c r="BJ6" s="313"/>
      <c r="BK6" s="313"/>
      <c r="BL6" s="313"/>
      <c r="BM6" s="313"/>
      <c r="BN6" s="313"/>
      <c r="BO6" s="313"/>
      <c r="BP6" s="313"/>
      <c r="BQ6" s="313"/>
      <c r="BR6" s="313"/>
      <c r="BS6" s="313"/>
      <c r="BT6" s="313"/>
      <c r="BU6" s="313"/>
      <c r="BV6" s="313"/>
      <c r="BW6" s="313"/>
      <c r="BX6" s="313"/>
      <c r="BY6" s="313"/>
      <c r="BZ6" s="313"/>
      <c r="CA6" s="313"/>
      <c r="CB6" s="313"/>
      <c r="CC6" s="313"/>
      <c r="CD6" s="313"/>
      <c r="CE6" s="313"/>
      <c r="CF6" s="313"/>
      <c r="CG6" s="313"/>
      <c r="CH6" s="313"/>
      <c r="CI6" s="313"/>
      <c r="CJ6" s="313"/>
      <c r="CK6" s="313"/>
      <c r="CL6" s="313"/>
      <c r="CM6" s="313"/>
      <c r="CN6" s="313"/>
      <c r="CO6" s="313"/>
      <c r="CP6" s="313"/>
      <c r="CQ6" s="313"/>
      <c r="CR6" s="313"/>
      <c r="CS6" s="313"/>
      <c r="CT6" s="313"/>
      <c r="CU6" s="313"/>
      <c r="CV6" s="313"/>
      <c r="CW6" s="313"/>
      <c r="CX6" s="313"/>
      <c r="CY6" s="313"/>
      <c r="CZ6" s="313"/>
      <c r="DA6" s="313"/>
      <c r="DB6" s="313"/>
      <c r="DC6" s="313"/>
      <c r="DD6" s="313"/>
      <c r="DE6" s="313"/>
      <c r="DF6" s="313"/>
      <c r="DG6" s="313"/>
      <c r="DH6" s="313"/>
      <c r="DI6" s="313"/>
      <c r="DJ6" s="313"/>
      <c r="DK6" s="313"/>
      <c r="DL6" s="313"/>
      <c r="DM6" s="313"/>
      <c r="DN6" s="313"/>
      <c r="DO6" s="313"/>
      <c r="DP6" s="313"/>
      <c r="DQ6" s="313"/>
      <c r="DR6" s="313"/>
      <c r="DS6" s="313"/>
      <c r="DT6" s="313"/>
      <c r="DU6" s="313"/>
    </row>
    <row r="7" spans="1:125" s="314" customFormat="1" ht="24.75" customHeight="1">
      <c r="A7" s="24" t="s">
        <v>71</v>
      </c>
      <c r="B7" s="24" t="s">
        <v>72</v>
      </c>
      <c r="C7" s="24" t="s">
        <v>73</v>
      </c>
      <c r="D7" s="24" t="s">
        <v>74</v>
      </c>
      <c r="E7" s="24" t="s">
        <v>75</v>
      </c>
      <c r="F7" s="24" t="s">
        <v>76</v>
      </c>
      <c r="G7" s="24" t="s">
        <v>77</v>
      </c>
      <c r="H7" s="24" t="s">
        <v>16</v>
      </c>
      <c r="I7" s="24" t="s">
        <v>30</v>
      </c>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c r="AW7" s="313"/>
      <c r="AX7" s="313"/>
      <c r="AY7" s="313"/>
      <c r="AZ7" s="313"/>
      <c r="BA7" s="313"/>
      <c r="BB7" s="313"/>
      <c r="BC7" s="313"/>
      <c r="BD7" s="313"/>
      <c r="BE7" s="313"/>
      <c r="BF7" s="313"/>
      <c r="BG7" s="313"/>
      <c r="BH7" s="313"/>
      <c r="BI7" s="313"/>
      <c r="BJ7" s="313"/>
      <c r="BK7" s="313"/>
      <c r="BL7" s="313"/>
      <c r="BM7" s="313"/>
      <c r="BN7" s="313"/>
      <c r="BO7" s="313"/>
      <c r="BP7" s="313"/>
      <c r="BQ7" s="313"/>
      <c r="BR7" s="313"/>
      <c r="BS7" s="313"/>
      <c r="BT7" s="313"/>
      <c r="BU7" s="313"/>
      <c r="BV7" s="313"/>
      <c r="BW7" s="313"/>
      <c r="BX7" s="313"/>
      <c r="BY7" s="313"/>
      <c r="BZ7" s="313"/>
      <c r="CA7" s="313"/>
      <c r="CB7" s="313"/>
      <c r="CC7" s="313"/>
      <c r="CD7" s="313"/>
      <c r="CE7" s="313"/>
      <c r="CF7" s="313"/>
      <c r="CG7" s="313"/>
      <c r="CH7" s="313"/>
      <c r="CI7" s="313"/>
      <c r="CJ7" s="313"/>
      <c r="CK7" s="313"/>
      <c r="CL7" s="313"/>
      <c r="CM7" s="313"/>
      <c r="CN7" s="313"/>
      <c r="CO7" s="313"/>
      <c r="CP7" s="313"/>
      <c r="CQ7" s="313"/>
      <c r="CR7" s="313"/>
      <c r="CS7" s="313"/>
      <c r="CT7" s="313"/>
      <c r="CU7" s="313"/>
      <c r="CV7" s="313"/>
      <c r="CW7" s="313"/>
      <c r="CX7" s="313"/>
      <c r="CY7" s="313"/>
      <c r="CZ7" s="313"/>
      <c r="DA7" s="313"/>
      <c r="DB7" s="313"/>
      <c r="DC7" s="313"/>
      <c r="DD7" s="313"/>
      <c r="DE7" s="313"/>
      <c r="DF7" s="313"/>
      <c r="DG7" s="313"/>
      <c r="DH7" s="313"/>
      <c r="DI7" s="313"/>
      <c r="DJ7" s="313"/>
      <c r="DK7" s="313"/>
      <c r="DL7" s="313"/>
      <c r="DM7" s="313"/>
      <c r="DN7" s="313"/>
      <c r="DO7" s="313"/>
      <c r="DP7" s="313"/>
      <c r="DQ7" s="313"/>
      <c r="DR7" s="313"/>
      <c r="DS7" s="313"/>
      <c r="DT7" s="313"/>
      <c r="DU7" s="313"/>
    </row>
    <row r="8" spans="1:125" s="314" customFormat="1" ht="12.75" customHeight="1">
      <c r="A8" s="24" t="s">
        <v>78</v>
      </c>
      <c r="B8" s="24" t="s">
        <v>79</v>
      </c>
      <c r="C8" s="24" t="s">
        <v>80</v>
      </c>
      <c r="D8" s="24" t="s">
        <v>81</v>
      </c>
      <c r="E8" s="24" t="s">
        <v>82</v>
      </c>
      <c r="F8" s="24" t="s">
        <v>83</v>
      </c>
      <c r="G8" s="24" t="s">
        <v>84</v>
      </c>
      <c r="H8" s="24">
        <v>8</v>
      </c>
      <c r="I8" s="24">
        <v>9</v>
      </c>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c r="AW8" s="313"/>
      <c r="AX8" s="313"/>
      <c r="AY8" s="313"/>
      <c r="AZ8" s="313"/>
      <c r="BA8" s="313"/>
      <c r="BB8" s="313"/>
      <c r="BC8" s="313"/>
      <c r="BD8" s="313"/>
      <c r="BE8" s="313"/>
      <c r="BF8" s="313"/>
      <c r="BG8" s="313"/>
      <c r="BH8" s="313"/>
      <c r="BI8" s="313"/>
      <c r="BJ8" s="313"/>
      <c r="BK8" s="313"/>
      <c r="BL8" s="313"/>
      <c r="BM8" s="313"/>
      <c r="BN8" s="313"/>
      <c r="BO8" s="313"/>
      <c r="BP8" s="313"/>
      <c r="BQ8" s="313"/>
      <c r="BR8" s="313"/>
      <c r="BS8" s="313"/>
      <c r="BT8" s="313"/>
      <c r="BU8" s="313"/>
      <c r="BV8" s="313"/>
      <c r="BW8" s="313"/>
      <c r="BX8" s="313"/>
      <c r="BY8" s="313"/>
      <c r="BZ8" s="313"/>
      <c r="CA8" s="313"/>
      <c r="CB8" s="313"/>
      <c r="CC8" s="313"/>
      <c r="CD8" s="313"/>
      <c r="CE8" s="313"/>
      <c r="CF8" s="313"/>
      <c r="CG8" s="313"/>
      <c r="CH8" s="313"/>
      <c r="CI8" s="313"/>
      <c r="CJ8" s="313"/>
      <c r="CK8" s="313"/>
      <c r="CL8" s="313"/>
      <c r="CM8" s="313"/>
      <c r="CN8" s="313"/>
      <c r="CO8" s="313"/>
      <c r="CP8" s="313"/>
      <c r="CQ8" s="313"/>
      <c r="CR8" s="313"/>
      <c r="CS8" s="313"/>
      <c r="CT8" s="313"/>
      <c r="CU8" s="313"/>
      <c r="CV8" s="313"/>
      <c r="CW8" s="313"/>
      <c r="CX8" s="313"/>
      <c r="CY8" s="313"/>
      <c r="CZ8" s="313"/>
      <c r="DA8" s="313"/>
      <c r="DB8" s="313"/>
      <c r="DC8" s="313"/>
      <c r="DD8" s="313"/>
      <c r="DE8" s="313"/>
      <c r="DF8" s="313"/>
      <c r="DG8" s="313"/>
      <c r="DH8" s="313"/>
      <c r="DI8" s="313"/>
      <c r="DJ8" s="313"/>
      <c r="DK8" s="313"/>
      <c r="DL8" s="313"/>
      <c r="DM8" s="313"/>
      <c r="DN8" s="313"/>
      <c r="DO8" s="313"/>
      <c r="DP8" s="313"/>
      <c r="DQ8" s="313"/>
      <c r="DR8" s="313"/>
      <c r="DS8" s="313"/>
      <c r="DT8" s="313"/>
      <c r="DU8" s="313"/>
    </row>
    <row r="9" spans="1:125" s="314" customFormat="1" ht="21" customHeight="1">
      <c r="A9" s="318"/>
      <c r="B9" s="319"/>
      <c r="C9" s="319" t="s">
        <v>93</v>
      </c>
      <c r="D9" s="319" t="s">
        <v>94</v>
      </c>
      <c r="E9" s="319"/>
      <c r="F9" s="320"/>
      <c r="G9" s="321"/>
      <c r="H9" s="321">
        <f>H10+H18+H69</f>
        <v>0</v>
      </c>
      <c r="I9" s="313"/>
      <c r="J9" s="322"/>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c r="AW9" s="313"/>
      <c r="AX9" s="313"/>
      <c r="AY9" s="313"/>
      <c r="AZ9" s="313"/>
      <c r="BA9" s="313"/>
      <c r="BB9" s="313"/>
      <c r="BC9" s="313"/>
      <c r="BD9" s="313"/>
      <c r="BE9" s="313"/>
      <c r="BF9" s="313"/>
      <c r="BG9" s="313"/>
      <c r="BH9" s="313"/>
      <c r="BI9" s="313"/>
      <c r="BJ9" s="313"/>
      <c r="BK9" s="313"/>
      <c r="BL9" s="313"/>
      <c r="BM9" s="313"/>
      <c r="BN9" s="313"/>
      <c r="BO9" s="313"/>
      <c r="BP9" s="313"/>
      <c r="BQ9" s="313"/>
      <c r="BR9" s="313"/>
      <c r="BS9" s="313"/>
      <c r="BT9" s="313"/>
      <c r="BU9" s="313"/>
      <c r="BV9" s="313"/>
      <c r="BW9" s="313"/>
      <c r="BX9" s="313"/>
      <c r="BY9" s="313"/>
      <c r="BZ9" s="313"/>
      <c r="CA9" s="313"/>
      <c r="CB9" s="313"/>
      <c r="CC9" s="313"/>
      <c r="CD9" s="313"/>
      <c r="CE9" s="313"/>
      <c r="CF9" s="313"/>
      <c r="CG9" s="313"/>
      <c r="CH9" s="313"/>
      <c r="CI9" s="313"/>
      <c r="CJ9" s="313"/>
      <c r="CK9" s="313"/>
      <c r="CL9" s="313"/>
      <c r="CM9" s="313"/>
      <c r="CN9" s="313"/>
      <c r="CO9" s="313"/>
      <c r="CP9" s="313"/>
      <c r="CQ9" s="313"/>
      <c r="CR9" s="313"/>
      <c r="CS9" s="313"/>
      <c r="CT9" s="313"/>
      <c r="CU9" s="313"/>
      <c r="CV9" s="313"/>
      <c r="CW9" s="313"/>
      <c r="CX9" s="313"/>
      <c r="CY9" s="313"/>
      <c r="CZ9" s="313"/>
      <c r="DA9" s="313"/>
      <c r="DB9" s="313"/>
      <c r="DC9" s="313"/>
      <c r="DD9" s="313"/>
      <c r="DE9" s="313"/>
      <c r="DF9" s="313"/>
      <c r="DG9" s="313"/>
      <c r="DH9" s="313"/>
      <c r="DI9" s="313"/>
      <c r="DJ9" s="313"/>
      <c r="DK9" s="313"/>
      <c r="DL9" s="313"/>
      <c r="DM9" s="313"/>
      <c r="DN9" s="313"/>
      <c r="DO9" s="313"/>
      <c r="DP9" s="313"/>
      <c r="DQ9" s="313"/>
      <c r="DR9" s="313"/>
      <c r="DS9" s="313"/>
      <c r="DT9" s="313"/>
      <c r="DU9" s="313"/>
    </row>
    <row r="10" spans="1:125" s="314" customFormat="1" ht="13.5" customHeight="1">
      <c r="A10" s="323"/>
      <c r="B10" s="324"/>
      <c r="C10" s="324">
        <v>1</v>
      </c>
      <c r="D10" s="324" t="s">
        <v>95</v>
      </c>
      <c r="E10" s="324"/>
      <c r="F10" s="325"/>
      <c r="G10" s="326"/>
      <c r="H10" s="326">
        <f>SUM(H11:H17)</f>
        <v>0</v>
      </c>
      <c r="I10" s="327"/>
      <c r="J10" s="328"/>
      <c r="K10" s="328"/>
      <c r="L10" s="328"/>
      <c r="M10" s="328"/>
      <c r="N10" s="328"/>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3"/>
      <c r="CS10" s="313"/>
      <c r="CT10" s="313"/>
      <c r="CU10" s="313"/>
      <c r="CV10" s="313"/>
      <c r="CW10" s="313"/>
      <c r="CX10" s="313"/>
      <c r="CY10" s="313"/>
      <c r="CZ10" s="313"/>
      <c r="DA10" s="313"/>
      <c r="DB10" s="313"/>
      <c r="DC10" s="313"/>
      <c r="DD10" s="313"/>
      <c r="DE10" s="313"/>
      <c r="DF10" s="313"/>
      <c r="DG10" s="313"/>
      <c r="DH10" s="313"/>
      <c r="DI10" s="313"/>
      <c r="DJ10" s="313"/>
      <c r="DK10" s="313"/>
      <c r="DL10" s="313"/>
      <c r="DM10" s="313"/>
      <c r="DN10" s="313"/>
      <c r="DO10" s="313"/>
      <c r="DP10" s="313"/>
      <c r="DQ10" s="313"/>
      <c r="DR10" s="313"/>
      <c r="DS10" s="313"/>
      <c r="DT10" s="313"/>
      <c r="DU10" s="313"/>
    </row>
    <row r="11" spans="1:125" s="335" customFormat="1" ht="13.5" customHeight="1">
      <c r="A11" s="329" t="s">
        <v>78</v>
      </c>
      <c r="B11" s="330" t="s">
        <v>96</v>
      </c>
      <c r="C11" s="85">
        <v>174151101</v>
      </c>
      <c r="D11" s="85" t="s">
        <v>161</v>
      </c>
      <c r="E11" s="85" t="s">
        <v>122</v>
      </c>
      <c r="F11" s="35">
        <f>SUM(F12:F13)</f>
        <v>18.638000000000002</v>
      </c>
      <c r="G11" s="88"/>
      <c r="H11" s="331">
        <f>F11*G11</f>
        <v>0</v>
      </c>
      <c r="I11" s="332" t="s">
        <v>738</v>
      </c>
      <c r="J11" s="317"/>
      <c r="K11" s="505"/>
      <c r="L11" s="333"/>
      <c r="M11" s="333"/>
      <c r="N11" s="333"/>
      <c r="O11" s="333"/>
      <c r="P11" s="333"/>
      <c r="Q11" s="333"/>
      <c r="R11" s="334"/>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c r="AW11" s="333"/>
      <c r="AX11" s="333"/>
      <c r="AY11" s="333"/>
      <c r="AZ11" s="333"/>
      <c r="BA11" s="333"/>
      <c r="BB11" s="333"/>
      <c r="BC11" s="333"/>
      <c r="BD11" s="333"/>
      <c r="BE11" s="333"/>
      <c r="BF11" s="333"/>
      <c r="BG11" s="333"/>
      <c r="BH11" s="333"/>
      <c r="BI11" s="333"/>
      <c r="BJ11" s="333"/>
      <c r="BK11" s="333"/>
      <c r="BL11" s="333"/>
      <c r="BM11" s="333"/>
      <c r="BN11" s="333"/>
      <c r="BO11" s="333"/>
      <c r="BP11" s="333"/>
      <c r="BQ11" s="333"/>
      <c r="BR11" s="333"/>
      <c r="BS11" s="333"/>
      <c r="BT11" s="333"/>
      <c r="BU11" s="333"/>
      <c r="BV11" s="333"/>
      <c r="BW11" s="333"/>
      <c r="BX11" s="333"/>
      <c r="BY11" s="333"/>
      <c r="BZ11" s="333"/>
      <c r="CA11" s="333"/>
      <c r="CB11" s="333"/>
      <c r="CC11" s="333"/>
      <c r="CD11" s="333"/>
      <c r="CE11" s="333"/>
      <c r="CF11" s="333"/>
      <c r="CG11" s="333"/>
      <c r="CH11" s="333"/>
      <c r="CI11" s="333"/>
      <c r="CJ11" s="333"/>
      <c r="CK11" s="333"/>
      <c r="CL11" s="333"/>
      <c r="CM11" s="333"/>
      <c r="CN11" s="333"/>
      <c r="CO11" s="333"/>
      <c r="CP11" s="333"/>
      <c r="CQ11" s="333"/>
      <c r="CR11" s="333"/>
      <c r="CS11" s="333"/>
      <c r="CT11" s="333"/>
      <c r="CU11" s="333"/>
      <c r="CV11" s="333"/>
      <c r="CW11" s="333"/>
      <c r="CX11" s="333"/>
      <c r="CY11" s="333"/>
      <c r="CZ11" s="333"/>
      <c r="DA11" s="333"/>
      <c r="DB11" s="333"/>
      <c r="DC11" s="333"/>
      <c r="DD11" s="333"/>
      <c r="DE11" s="333"/>
      <c r="DF11" s="333"/>
      <c r="DG11" s="333"/>
      <c r="DH11" s="333"/>
      <c r="DI11" s="333"/>
      <c r="DJ11" s="333"/>
      <c r="DK11" s="333"/>
      <c r="DL11" s="333"/>
      <c r="DM11" s="333"/>
      <c r="DN11" s="333"/>
      <c r="DO11" s="333"/>
      <c r="DP11" s="333"/>
      <c r="DQ11" s="333"/>
      <c r="DR11" s="333"/>
      <c r="DS11" s="333"/>
      <c r="DT11" s="333"/>
      <c r="DU11" s="333"/>
    </row>
    <row r="12" spans="1:125" s="341" customFormat="1" ht="13.5" customHeight="1">
      <c r="A12" s="329"/>
      <c r="B12" s="336"/>
      <c r="C12" s="85"/>
      <c r="D12" s="117" t="s">
        <v>357</v>
      </c>
      <c r="E12" s="336"/>
      <c r="F12" s="337">
        <f>(10.044+1.224)+3.77</f>
        <v>15.038</v>
      </c>
      <c r="G12" s="338"/>
      <c r="H12" s="331"/>
      <c r="I12" s="332"/>
      <c r="J12" s="317"/>
      <c r="K12" s="505"/>
      <c r="L12" s="339"/>
      <c r="M12" s="340"/>
      <c r="N12" s="340"/>
      <c r="O12" s="339"/>
      <c r="P12" s="339"/>
      <c r="Q12" s="340"/>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39"/>
      <c r="BH12" s="339"/>
      <c r="BI12" s="339"/>
      <c r="BJ12" s="339"/>
      <c r="BK12" s="339"/>
      <c r="BL12" s="339"/>
      <c r="BM12" s="339"/>
      <c r="BN12" s="339"/>
      <c r="BO12" s="339"/>
      <c r="BP12" s="339"/>
      <c r="BQ12" s="339"/>
      <c r="BR12" s="339"/>
      <c r="BS12" s="339"/>
      <c r="BT12" s="339"/>
      <c r="BU12" s="339"/>
      <c r="BV12" s="339"/>
      <c r="BW12" s="339"/>
      <c r="BX12" s="339"/>
      <c r="BY12" s="339"/>
      <c r="BZ12" s="339"/>
      <c r="CA12" s="339"/>
      <c r="CB12" s="339"/>
      <c r="CC12" s="339"/>
      <c r="CD12" s="339"/>
      <c r="CE12" s="339"/>
      <c r="CF12" s="339"/>
      <c r="CG12" s="339"/>
      <c r="CH12" s="339"/>
      <c r="CI12" s="339"/>
      <c r="CJ12" s="339"/>
      <c r="CK12" s="339"/>
      <c r="CL12" s="339"/>
      <c r="CM12" s="339"/>
      <c r="CN12" s="339"/>
      <c r="CO12" s="339"/>
      <c r="CP12" s="339"/>
      <c r="CQ12" s="339"/>
      <c r="CR12" s="339"/>
      <c r="CS12" s="339"/>
      <c r="CT12" s="339"/>
      <c r="CU12" s="339"/>
      <c r="CV12" s="339"/>
      <c r="CW12" s="339"/>
      <c r="CX12" s="339"/>
      <c r="CY12" s="339"/>
      <c r="CZ12" s="339"/>
      <c r="DA12" s="339"/>
      <c r="DB12" s="339"/>
      <c r="DC12" s="339"/>
      <c r="DD12" s="339"/>
      <c r="DE12" s="339"/>
      <c r="DF12" s="339"/>
      <c r="DG12" s="339"/>
      <c r="DH12" s="339"/>
      <c r="DI12" s="339"/>
      <c r="DJ12" s="339"/>
      <c r="DK12" s="339"/>
      <c r="DL12" s="339"/>
      <c r="DM12" s="339"/>
      <c r="DN12" s="339"/>
      <c r="DO12" s="339"/>
      <c r="DP12" s="339"/>
      <c r="DQ12" s="339"/>
      <c r="DR12" s="339"/>
      <c r="DS12" s="339"/>
      <c r="DT12" s="339"/>
      <c r="DU12" s="339"/>
    </row>
    <row r="13" spans="1:125" s="341" customFormat="1" ht="13.5" customHeight="1">
      <c r="A13" s="329"/>
      <c r="B13" s="336"/>
      <c r="C13" s="85"/>
      <c r="D13" s="117" t="s">
        <v>358</v>
      </c>
      <c r="E13" s="336"/>
      <c r="F13" s="337">
        <f>(4*9)*0.1</f>
        <v>3.6</v>
      </c>
      <c r="G13" s="338"/>
      <c r="H13" s="331"/>
      <c r="I13" s="332"/>
      <c r="J13" s="342"/>
      <c r="K13" s="339"/>
      <c r="L13" s="339"/>
      <c r="M13" s="340"/>
      <c r="N13" s="340"/>
      <c r="O13" s="339"/>
      <c r="P13" s="339"/>
      <c r="Q13" s="340"/>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c r="AW13" s="339"/>
      <c r="AX13" s="339"/>
      <c r="AY13" s="339"/>
      <c r="AZ13" s="339"/>
      <c r="BA13" s="339"/>
      <c r="BB13" s="339"/>
      <c r="BC13" s="339"/>
      <c r="BD13" s="339"/>
      <c r="BE13" s="339"/>
      <c r="BF13" s="339"/>
      <c r="BG13" s="339"/>
      <c r="BH13" s="339"/>
      <c r="BI13" s="339"/>
      <c r="BJ13" s="339"/>
      <c r="BK13" s="339"/>
      <c r="BL13" s="339"/>
      <c r="BM13" s="339"/>
      <c r="BN13" s="339"/>
      <c r="BO13" s="339"/>
      <c r="BP13" s="339"/>
      <c r="BQ13" s="339"/>
      <c r="BR13" s="339"/>
      <c r="BS13" s="339"/>
      <c r="BT13" s="339"/>
      <c r="BU13" s="339"/>
      <c r="BV13" s="339"/>
      <c r="BW13" s="339"/>
      <c r="BX13" s="339"/>
      <c r="BY13" s="339"/>
      <c r="BZ13" s="339"/>
      <c r="CA13" s="339"/>
      <c r="CB13" s="339"/>
      <c r="CC13" s="339"/>
      <c r="CD13" s="339"/>
      <c r="CE13" s="339"/>
      <c r="CF13" s="339"/>
      <c r="CG13" s="339"/>
      <c r="CH13" s="339"/>
      <c r="CI13" s="339"/>
      <c r="CJ13" s="339"/>
      <c r="CK13" s="339"/>
      <c r="CL13" s="339"/>
      <c r="CM13" s="339"/>
      <c r="CN13" s="339"/>
      <c r="CO13" s="339"/>
      <c r="CP13" s="339"/>
      <c r="CQ13" s="339"/>
      <c r="CR13" s="339"/>
      <c r="CS13" s="339"/>
      <c r="CT13" s="339"/>
      <c r="CU13" s="339"/>
      <c r="CV13" s="339"/>
      <c r="CW13" s="339"/>
      <c r="CX13" s="339"/>
      <c r="CY13" s="339"/>
      <c r="CZ13" s="339"/>
      <c r="DA13" s="339"/>
      <c r="DB13" s="339"/>
      <c r="DC13" s="339"/>
      <c r="DD13" s="339"/>
      <c r="DE13" s="339"/>
      <c r="DF13" s="339"/>
      <c r="DG13" s="339"/>
      <c r="DH13" s="339"/>
      <c r="DI13" s="339"/>
      <c r="DJ13" s="339"/>
      <c r="DK13" s="339"/>
      <c r="DL13" s="339"/>
      <c r="DM13" s="339"/>
      <c r="DN13" s="339"/>
      <c r="DO13" s="339"/>
      <c r="DP13" s="339"/>
      <c r="DQ13" s="339"/>
      <c r="DR13" s="339"/>
      <c r="DS13" s="339"/>
      <c r="DT13" s="339"/>
      <c r="DU13" s="339"/>
    </row>
    <row r="14" spans="1:125" s="335" customFormat="1" ht="13.5" customHeight="1">
      <c r="A14" s="343" t="s">
        <v>79</v>
      </c>
      <c r="B14" s="344" t="s">
        <v>123</v>
      </c>
      <c r="C14" s="87">
        <v>10364100</v>
      </c>
      <c r="D14" s="87" t="s">
        <v>124</v>
      </c>
      <c r="E14" s="87" t="s">
        <v>125</v>
      </c>
      <c r="F14" s="38">
        <f>SUM(F15)</f>
        <v>31.687999999999999</v>
      </c>
      <c r="G14" s="89"/>
      <c r="H14" s="345">
        <f>F14*G14</f>
        <v>0</v>
      </c>
      <c r="I14" s="346" t="s">
        <v>738</v>
      </c>
      <c r="J14" s="347"/>
      <c r="K14" s="333"/>
      <c r="L14" s="333"/>
      <c r="M14" s="333"/>
      <c r="N14" s="333"/>
      <c r="O14" s="333"/>
      <c r="P14" s="333"/>
      <c r="Q14" s="333"/>
      <c r="R14" s="334"/>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c r="AW14" s="333"/>
      <c r="AX14" s="333"/>
      <c r="AY14" s="333"/>
      <c r="AZ14" s="333"/>
      <c r="BA14" s="333"/>
      <c r="BB14" s="333"/>
      <c r="BC14" s="333"/>
      <c r="BD14" s="333"/>
      <c r="BE14" s="333"/>
      <c r="BF14" s="333"/>
      <c r="BG14" s="333"/>
      <c r="BH14" s="333"/>
      <c r="BI14" s="333"/>
      <c r="BJ14" s="333"/>
      <c r="BK14" s="333"/>
      <c r="BL14" s="333"/>
      <c r="BM14" s="333"/>
      <c r="BN14" s="333"/>
      <c r="BO14" s="333"/>
      <c r="BP14" s="333"/>
      <c r="BQ14" s="333"/>
      <c r="BR14" s="333"/>
      <c r="BS14" s="333"/>
      <c r="BT14" s="333"/>
      <c r="BU14" s="333"/>
      <c r="BV14" s="333"/>
      <c r="BW14" s="333"/>
      <c r="BX14" s="333"/>
      <c r="BY14" s="333"/>
      <c r="BZ14" s="333"/>
      <c r="CA14" s="333"/>
      <c r="CB14" s="333"/>
      <c r="CC14" s="333"/>
      <c r="CD14" s="333"/>
      <c r="CE14" s="333"/>
      <c r="CF14" s="333"/>
      <c r="CG14" s="333"/>
      <c r="CH14" s="333"/>
      <c r="CI14" s="333"/>
      <c r="CJ14" s="333"/>
      <c r="CK14" s="333"/>
      <c r="CL14" s="333"/>
      <c r="CM14" s="333"/>
      <c r="CN14" s="333"/>
      <c r="CO14" s="333"/>
      <c r="CP14" s="333"/>
      <c r="CQ14" s="333"/>
      <c r="CR14" s="333"/>
      <c r="CS14" s="333"/>
      <c r="CT14" s="333"/>
      <c r="CU14" s="333"/>
      <c r="CV14" s="333"/>
      <c r="CW14" s="333"/>
      <c r="CX14" s="333"/>
      <c r="CY14" s="333"/>
      <c r="CZ14" s="333"/>
      <c r="DA14" s="333"/>
      <c r="DB14" s="333"/>
      <c r="DC14" s="333"/>
      <c r="DD14" s="333"/>
      <c r="DE14" s="333"/>
      <c r="DF14" s="333"/>
      <c r="DG14" s="333"/>
      <c r="DH14" s="333"/>
      <c r="DI14" s="333"/>
      <c r="DJ14" s="333"/>
      <c r="DK14" s="333"/>
      <c r="DL14" s="333"/>
      <c r="DM14" s="333"/>
      <c r="DN14" s="333"/>
      <c r="DO14" s="333"/>
      <c r="DP14" s="333"/>
      <c r="DQ14" s="333"/>
      <c r="DR14" s="333"/>
      <c r="DS14" s="333"/>
      <c r="DT14" s="333"/>
      <c r="DU14" s="333"/>
    </row>
    <row r="15" spans="1:125" s="341" customFormat="1" ht="13.5" customHeight="1">
      <c r="A15" s="343"/>
      <c r="B15" s="348"/>
      <c r="C15" s="87"/>
      <c r="D15" s="118" t="s">
        <v>359</v>
      </c>
      <c r="E15" s="348"/>
      <c r="F15" s="349">
        <f>(15.04+3.6)*1.7</f>
        <v>31.687999999999999</v>
      </c>
      <c r="G15" s="350"/>
      <c r="H15" s="345"/>
      <c r="I15" s="346"/>
      <c r="J15" s="351"/>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c r="AW15" s="339"/>
      <c r="AX15" s="339"/>
      <c r="AY15" s="339"/>
      <c r="AZ15" s="339"/>
      <c r="BA15" s="339"/>
      <c r="BB15" s="339"/>
      <c r="BC15" s="339"/>
      <c r="BD15" s="339"/>
      <c r="BE15" s="339"/>
      <c r="BF15" s="339"/>
      <c r="BG15" s="339"/>
      <c r="BH15" s="339"/>
      <c r="BI15" s="339"/>
      <c r="BJ15" s="339"/>
      <c r="BK15" s="339"/>
      <c r="BL15" s="339"/>
      <c r="BM15" s="339"/>
      <c r="BN15" s="339"/>
      <c r="BO15" s="339"/>
      <c r="BP15" s="339"/>
      <c r="BQ15" s="339"/>
      <c r="BR15" s="339"/>
      <c r="BS15" s="339"/>
      <c r="BT15" s="339"/>
      <c r="BU15" s="339"/>
      <c r="BV15" s="339"/>
      <c r="BW15" s="339"/>
      <c r="BX15" s="339"/>
      <c r="BY15" s="339"/>
      <c r="BZ15" s="339"/>
      <c r="CA15" s="339"/>
      <c r="CB15" s="339"/>
      <c r="CC15" s="339"/>
      <c r="CD15" s="339"/>
      <c r="CE15" s="339"/>
      <c r="CF15" s="339"/>
      <c r="CG15" s="339"/>
      <c r="CH15" s="339"/>
      <c r="CI15" s="339"/>
      <c r="CJ15" s="339"/>
      <c r="CK15" s="339"/>
      <c r="CL15" s="339"/>
      <c r="CM15" s="339"/>
      <c r="CN15" s="339"/>
      <c r="CO15" s="339"/>
      <c r="CP15" s="339"/>
      <c r="CQ15" s="339"/>
      <c r="CR15" s="339"/>
      <c r="CS15" s="339"/>
      <c r="CT15" s="339"/>
      <c r="CU15" s="339"/>
      <c r="CV15" s="339"/>
      <c r="CW15" s="339"/>
      <c r="CX15" s="339"/>
      <c r="CY15" s="339"/>
      <c r="CZ15" s="339"/>
      <c r="DA15" s="339"/>
      <c r="DB15" s="339"/>
      <c r="DC15" s="339"/>
      <c r="DD15" s="339"/>
      <c r="DE15" s="339"/>
      <c r="DF15" s="339"/>
      <c r="DG15" s="339"/>
      <c r="DH15" s="339"/>
      <c r="DI15" s="339"/>
      <c r="DJ15" s="339"/>
      <c r="DK15" s="339"/>
      <c r="DL15" s="339"/>
      <c r="DM15" s="339"/>
      <c r="DN15" s="339"/>
      <c r="DO15" s="339"/>
      <c r="DP15" s="339"/>
      <c r="DQ15" s="339"/>
      <c r="DR15" s="339"/>
      <c r="DS15" s="339"/>
      <c r="DT15" s="339"/>
      <c r="DU15" s="339"/>
    </row>
    <row r="16" spans="1:125" s="314" customFormat="1" ht="26.25" customHeight="1">
      <c r="A16" s="352">
        <v>3</v>
      </c>
      <c r="B16" s="353" t="s">
        <v>126</v>
      </c>
      <c r="C16" s="85">
        <v>181111121</v>
      </c>
      <c r="D16" s="85" t="s">
        <v>127</v>
      </c>
      <c r="E16" s="354" t="s">
        <v>98</v>
      </c>
      <c r="F16" s="355">
        <f>F17</f>
        <v>36</v>
      </c>
      <c r="G16" s="503"/>
      <c r="H16" s="356">
        <f>F16*G16</f>
        <v>0</v>
      </c>
      <c r="I16" s="332" t="s">
        <v>738</v>
      </c>
      <c r="J16" s="317"/>
      <c r="K16" s="317"/>
      <c r="L16" s="328"/>
      <c r="M16" s="357"/>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c r="AW16" s="313"/>
      <c r="AX16" s="313"/>
      <c r="AY16" s="313"/>
      <c r="AZ16" s="313"/>
      <c r="BA16" s="313"/>
      <c r="BB16" s="313"/>
      <c r="BC16" s="313"/>
      <c r="BD16" s="313"/>
      <c r="BE16" s="313"/>
      <c r="BF16" s="313"/>
      <c r="BG16" s="313"/>
      <c r="BH16" s="313"/>
      <c r="BI16" s="313"/>
      <c r="BJ16" s="313"/>
      <c r="BK16" s="313"/>
      <c r="BL16" s="313"/>
      <c r="BM16" s="313"/>
      <c r="BN16" s="313"/>
      <c r="BO16" s="313"/>
      <c r="BP16" s="313"/>
      <c r="BQ16" s="313"/>
      <c r="BR16" s="313"/>
      <c r="BS16" s="313"/>
      <c r="BT16" s="313"/>
      <c r="BU16" s="313"/>
      <c r="BV16" s="313"/>
      <c r="BW16" s="313"/>
      <c r="BX16" s="313"/>
      <c r="BY16" s="313"/>
      <c r="BZ16" s="313"/>
      <c r="CA16" s="313"/>
      <c r="CB16" s="313"/>
      <c r="CC16" s="313"/>
      <c r="CD16" s="313"/>
      <c r="CE16" s="313"/>
      <c r="CF16" s="313"/>
      <c r="CG16" s="313"/>
      <c r="CH16" s="313"/>
      <c r="CI16" s="313"/>
      <c r="CJ16" s="313"/>
      <c r="CK16" s="313"/>
      <c r="CL16" s="313"/>
      <c r="CM16" s="313"/>
      <c r="CN16" s="313"/>
      <c r="CO16" s="313"/>
      <c r="CP16" s="313"/>
      <c r="CQ16" s="313"/>
      <c r="CR16" s="313"/>
      <c r="CS16" s="313"/>
      <c r="CT16" s="313"/>
      <c r="CU16" s="313"/>
      <c r="CV16" s="313"/>
      <c r="CW16" s="313"/>
      <c r="CX16" s="313"/>
      <c r="CY16" s="313"/>
      <c r="CZ16" s="313"/>
      <c r="DA16" s="313"/>
      <c r="DB16" s="313"/>
      <c r="DC16" s="313"/>
      <c r="DD16" s="313"/>
      <c r="DE16" s="313"/>
      <c r="DF16" s="313"/>
      <c r="DG16" s="313"/>
      <c r="DH16" s="313"/>
      <c r="DI16" s="313"/>
      <c r="DJ16" s="313"/>
      <c r="DK16" s="313"/>
      <c r="DL16" s="313"/>
      <c r="DM16" s="313"/>
      <c r="DN16" s="313"/>
      <c r="DO16" s="313"/>
      <c r="DP16" s="313"/>
      <c r="DQ16" s="313"/>
      <c r="DR16" s="313"/>
      <c r="DS16" s="313"/>
      <c r="DT16" s="313"/>
      <c r="DU16" s="313"/>
    </row>
    <row r="17" spans="1:125" s="314" customFormat="1" ht="13.5" customHeight="1">
      <c r="A17" s="352"/>
      <c r="B17" s="353"/>
      <c r="C17" s="354"/>
      <c r="D17" s="358" t="s">
        <v>368</v>
      </c>
      <c r="E17" s="354"/>
      <c r="F17" s="359">
        <f>9*4</f>
        <v>36</v>
      </c>
      <c r="G17" s="356"/>
      <c r="H17" s="356"/>
      <c r="I17" s="360"/>
      <c r="J17" s="322"/>
      <c r="K17" s="361"/>
      <c r="L17" s="361"/>
      <c r="M17" s="361"/>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c r="AW17" s="313"/>
      <c r="AX17" s="313"/>
      <c r="AY17" s="313"/>
      <c r="AZ17" s="313"/>
      <c r="BA17" s="313"/>
      <c r="BB17" s="313"/>
      <c r="BC17" s="313"/>
      <c r="BD17" s="313"/>
      <c r="BE17" s="313"/>
      <c r="BF17" s="313"/>
      <c r="BG17" s="313"/>
      <c r="BH17" s="313"/>
      <c r="BI17" s="313"/>
      <c r="BJ17" s="313"/>
      <c r="BK17" s="313"/>
      <c r="BL17" s="313"/>
      <c r="BM17" s="313"/>
      <c r="BN17" s="313"/>
      <c r="BO17" s="313"/>
      <c r="BP17" s="313"/>
      <c r="BQ17" s="313"/>
      <c r="BR17" s="313"/>
      <c r="BS17" s="313"/>
      <c r="BT17" s="313"/>
      <c r="BU17" s="313"/>
      <c r="BV17" s="313"/>
      <c r="BW17" s="313"/>
      <c r="BX17" s="313"/>
      <c r="BY17" s="313"/>
      <c r="BZ17" s="313"/>
      <c r="CA17" s="313"/>
      <c r="CB17" s="313"/>
      <c r="CC17" s="313"/>
      <c r="CD17" s="313"/>
      <c r="CE17" s="313"/>
      <c r="CF17" s="313"/>
      <c r="CG17" s="313"/>
      <c r="CH17" s="313"/>
      <c r="CI17" s="313"/>
      <c r="CJ17" s="313"/>
      <c r="CK17" s="313"/>
      <c r="CL17" s="313"/>
      <c r="CM17" s="313"/>
      <c r="CN17" s="313"/>
      <c r="CO17" s="313"/>
      <c r="CP17" s="313"/>
      <c r="CQ17" s="313"/>
      <c r="CR17" s="313"/>
      <c r="CS17" s="313"/>
      <c r="CT17" s="313"/>
      <c r="CU17" s="313"/>
      <c r="CV17" s="313"/>
      <c r="CW17" s="313"/>
      <c r="CX17" s="313"/>
      <c r="CY17" s="313"/>
      <c r="CZ17" s="313"/>
      <c r="DA17" s="313"/>
      <c r="DB17" s="313"/>
      <c r="DC17" s="313"/>
      <c r="DD17" s="313"/>
      <c r="DE17" s="313"/>
      <c r="DF17" s="313"/>
      <c r="DG17" s="313"/>
      <c r="DH17" s="313"/>
      <c r="DI17" s="313"/>
      <c r="DJ17" s="313"/>
      <c r="DK17" s="313"/>
      <c r="DL17" s="313"/>
      <c r="DM17" s="313"/>
      <c r="DN17" s="313"/>
      <c r="DO17" s="313"/>
      <c r="DP17" s="313"/>
      <c r="DQ17" s="313"/>
      <c r="DR17" s="313"/>
      <c r="DS17" s="313"/>
      <c r="DT17" s="313"/>
      <c r="DU17" s="313"/>
    </row>
    <row r="18" spans="1:125" s="314" customFormat="1" ht="13.5" customHeight="1">
      <c r="A18" s="323"/>
      <c r="B18" s="324"/>
      <c r="C18" s="324" t="s">
        <v>128</v>
      </c>
      <c r="D18" s="324" t="s">
        <v>129</v>
      </c>
      <c r="E18" s="324"/>
      <c r="F18" s="325"/>
      <c r="G18" s="326"/>
      <c r="H18" s="326">
        <f>SUM(H19:H43,H47:H49,H54:H56,H61:H63,H68)</f>
        <v>0</v>
      </c>
      <c r="I18" s="327"/>
      <c r="J18" s="328"/>
      <c r="K18" s="362"/>
      <c r="L18" s="362"/>
      <c r="M18" s="362"/>
      <c r="N18" s="328"/>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c r="AW18" s="313"/>
      <c r="AX18" s="313"/>
      <c r="AY18" s="313"/>
      <c r="AZ18" s="313"/>
      <c r="BA18" s="313"/>
      <c r="BB18" s="313"/>
      <c r="BC18" s="313"/>
      <c r="BD18" s="313"/>
      <c r="BE18" s="313"/>
      <c r="BF18" s="313"/>
      <c r="BG18" s="313"/>
      <c r="BH18" s="313"/>
      <c r="BI18" s="313"/>
      <c r="BJ18" s="313"/>
      <c r="BK18" s="313"/>
      <c r="BL18" s="313"/>
      <c r="BM18" s="313"/>
      <c r="BN18" s="313"/>
      <c r="BO18" s="313"/>
      <c r="BP18" s="313"/>
      <c r="BQ18" s="313"/>
      <c r="BR18" s="313"/>
      <c r="BS18" s="313"/>
      <c r="BT18" s="313"/>
      <c r="BU18" s="313"/>
      <c r="BV18" s="313"/>
      <c r="BW18" s="313"/>
      <c r="BX18" s="313"/>
      <c r="BY18" s="313"/>
      <c r="BZ18" s="313"/>
      <c r="CA18" s="313"/>
      <c r="CB18" s="313"/>
      <c r="CC18" s="313"/>
      <c r="CD18" s="313"/>
      <c r="CE18" s="313"/>
      <c r="CF18" s="313"/>
      <c r="CG18" s="313"/>
      <c r="CH18" s="313"/>
      <c r="CI18" s="313"/>
      <c r="CJ18" s="313"/>
      <c r="CK18" s="313"/>
      <c r="CL18" s="313"/>
      <c r="CM18" s="313"/>
      <c r="CN18" s="313"/>
      <c r="CO18" s="313"/>
      <c r="CP18" s="313"/>
      <c r="CQ18" s="313"/>
      <c r="CR18" s="313"/>
      <c r="CS18" s="313"/>
      <c r="CT18" s="313"/>
      <c r="CU18" s="313"/>
      <c r="CV18" s="313"/>
      <c r="CW18" s="313"/>
      <c r="CX18" s="313"/>
      <c r="CY18" s="313"/>
      <c r="CZ18" s="313"/>
      <c r="DA18" s="313"/>
      <c r="DB18" s="313"/>
      <c r="DC18" s="313"/>
      <c r="DD18" s="313"/>
      <c r="DE18" s="313"/>
      <c r="DF18" s="313"/>
      <c r="DG18" s="313"/>
      <c r="DH18" s="313"/>
      <c r="DI18" s="313"/>
      <c r="DJ18" s="313"/>
      <c r="DK18" s="313"/>
      <c r="DL18" s="313"/>
      <c r="DM18" s="313"/>
      <c r="DN18" s="313"/>
      <c r="DO18" s="313"/>
      <c r="DP18" s="313"/>
      <c r="DQ18" s="313"/>
      <c r="DR18" s="313"/>
      <c r="DS18" s="313"/>
      <c r="DT18" s="313"/>
      <c r="DU18" s="313"/>
    </row>
    <row r="19" spans="1:125" s="314" customFormat="1" ht="13.5" customHeight="1">
      <c r="A19" s="352">
        <v>4</v>
      </c>
      <c r="B19" s="330" t="s">
        <v>130</v>
      </c>
      <c r="C19" s="354">
        <v>961043111</v>
      </c>
      <c r="D19" s="354" t="s">
        <v>338</v>
      </c>
      <c r="E19" s="354" t="s">
        <v>122</v>
      </c>
      <c r="F19" s="355">
        <f>SUM(F20:F21)</f>
        <v>11.268000000000001</v>
      </c>
      <c r="G19" s="503"/>
      <c r="H19" s="356">
        <f>F19*G19</f>
        <v>0</v>
      </c>
      <c r="I19" s="332" t="s">
        <v>738</v>
      </c>
      <c r="J19" s="411"/>
      <c r="K19" s="313"/>
      <c r="L19" s="362"/>
      <c r="M19" s="362"/>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row>
    <row r="20" spans="1:125" s="314" customFormat="1" ht="13.5" customHeight="1">
      <c r="A20" s="352"/>
      <c r="B20" s="354"/>
      <c r="C20" s="354"/>
      <c r="D20" s="358" t="s">
        <v>363</v>
      </c>
      <c r="E20" s="354"/>
      <c r="F20" s="392">
        <f>(3.4+3.4+9+9)*0.9*0.45</f>
        <v>10.044</v>
      </c>
      <c r="G20" s="356"/>
      <c r="H20" s="356"/>
      <c r="I20" s="360"/>
      <c r="J20" s="376"/>
      <c r="K20" s="413"/>
      <c r="L20" s="362"/>
      <c r="M20" s="362"/>
      <c r="N20" s="413"/>
      <c r="O20" s="413"/>
      <c r="P20" s="4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row>
    <row r="21" spans="1:125" s="314" customFormat="1" ht="13.5" customHeight="1">
      <c r="A21" s="323"/>
      <c r="B21" s="324"/>
      <c r="C21" s="324"/>
      <c r="D21" s="358" t="s">
        <v>364</v>
      </c>
      <c r="E21" s="354"/>
      <c r="F21" s="392">
        <f>(3.4*0.9*0.4)</f>
        <v>1.2240000000000002</v>
      </c>
      <c r="G21" s="326"/>
      <c r="H21" s="326"/>
      <c r="I21" s="414"/>
      <c r="J21" s="415"/>
      <c r="K21" s="413"/>
      <c r="L21" s="362"/>
      <c r="M21" s="413"/>
      <c r="N21" s="413"/>
      <c r="O21" s="413"/>
      <c r="P21" s="413"/>
      <c r="Q21" s="413"/>
      <c r="R21" s="413"/>
      <c r="S21" s="413"/>
      <c r="T21" s="413"/>
      <c r="U21" s="413"/>
      <c r="V21" s="413"/>
      <c r="W21" s="413"/>
      <c r="X21" s="313"/>
      <c r="Y21" s="313"/>
      <c r="Z21" s="313"/>
      <c r="AA21" s="313"/>
      <c r="AB21" s="313"/>
      <c r="AC21" s="313"/>
      <c r="AD21" s="313"/>
      <c r="AE21" s="313"/>
      <c r="AF21" s="313"/>
      <c r="AG21" s="313"/>
      <c r="AH21" s="313"/>
      <c r="AI21" s="313"/>
      <c r="AJ21" s="313"/>
      <c r="AK21" s="313"/>
      <c r="AL21" s="313"/>
      <c r="AM21" s="313"/>
      <c r="AN21" s="313"/>
      <c r="AO21" s="313"/>
      <c r="AP21" s="313"/>
      <c r="AQ21" s="313"/>
      <c r="AR21" s="313"/>
      <c r="AS21" s="313"/>
      <c r="AT21" s="313"/>
    </row>
    <row r="22" spans="1:125" s="314" customFormat="1" ht="27" customHeight="1">
      <c r="A22" s="352">
        <v>5</v>
      </c>
      <c r="B22" s="330" t="s">
        <v>196</v>
      </c>
      <c r="C22" s="354">
        <v>965042141</v>
      </c>
      <c r="D22" s="354" t="s">
        <v>610</v>
      </c>
      <c r="E22" s="354" t="s">
        <v>122</v>
      </c>
      <c r="F22" s="355">
        <f>SUM(F23:F23)</f>
        <v>2.8559999999999999</v>
      </c>
      <c r="G22" s="503"/>
      <c r="H22" s="356">
        <f>F22*G22</f>
        <v>0</v>
      </c>
      <c r="I22" s="332" t="s">
        <v>738</v>
      </c>
      <c r="J22" s="411"/>
      <c r="K22" s="313"/>
      <c r="L22" s="362"/>
      <c r="M22" s="362"/>
      <c r="N22" s="313"/>
      <c r="O22" s="313"/>
      <c r="P22" s="313"/>
      <c r="Q22" s="313"/>
      <c r="R22" s="313"/>
      <c r="S22" s="313"/>
      <c r="T22" s="313"/>
      <c r="U22" s="313"/>
      <c r="V22" s="313"/>
      <c r="W22" s="313"/>
      <c r="X22" s="313"/>
      <c r="Y22" s="313"/>
      <c r="Z22" s="313"/>
      <c r="AA22" s="313"/>
      <c r="AB22" s="313"/>
      <c r="AC22" s="313"/>
      <c r="AD22" s="313"/>
      <c r="AE22" s="313"/>
      <c r="AF22" s="313"/>
      <c r="AG22" s="313"/>
      <c r="AH22" s="313"/>
      <c r="AI22" s="313"/>
      <c r="AJ22" s="313"/>
      <c r="AK22" s="313"/>
      <c r="AL22" s="313"/>
      <c r="AM22" s="313"/>
      <c r="AN22" s="313"/>
      <c r="AO22" s="313"/>
      <c r="AP22" s="313"/>
      <c r="AQ22" s="313"/>
      <c r="AR22" s="313"/>
      <c r="AS22" s="313"/>
      <c r="AT22" s="313"/>
    </row>
    <row r="23" spans="1:125" s="314" customFormat="1" ht="13.5" customHeight="1">
      <c r="A23" s="352"/>
      <c r="B23" s="354"/>
      <c r="C23" s="354"/>
      <c r="D23" s="358" t="s">
        <v>611</v>
      </c>
      <c r="E23" s="354"/>
      <c r="F23" s="392">
        <f>(8.4*3.4)*0.1</f>
        <v>2.8559999999999999</v>
      </c>
      <c r="G23" s="356"/>
      <c r="H23" s="356"/>
      <c r="I23" s="360"/>
      <c r="J23" s="986"/>
      <c r="K23" s="313"/>
      <c r="L23" s="362"/>
      <c r="M23" s="362"/>
      <c r="N23" s="313"/>
      <c r="O23" s="313"/>
      <c r="P23" s="313"/>
      <c r="Q23" s="313"/>
      <c r="R23" s="313"/>
      <c r="S23" s="313"/>
      <c r="T23" s="313"/>
      <c r="U23" s="313"/>
      <c r="V23" s="313"/>
      <c r="W23" s="313"/>
      <c r="X23" s="313"/>
      <c r="Y23" s="313"/>
      <c r="Z23" s="313"/>
      <c r="AA23" s="313"/>
      <c r="AB23" s="313"/>
      <c r="AC23" s="313"/>
      <c r="AD23" s="313"/>
      <c r="AE23" s="313"/>
      <c r="AF23" s="313"/>
      <c r="AG23" s="313"/>
      <c r="AH23" s="313"/>
      <c r="AI23" s="313"/>
      <c r="AJ23" s="313"/>
      <c r="AK23" s="313"/>
      <c r="AL23" s="313"/>
      <c r="AM23" s="313"/>
      <c r="AN23" s="313"/>
      <c r="AO23" s="313"/>
      <c r="AP23" s="313"/>
      <c r="AQ23" s="313"/>
      <c r="AR23" s="313"/>
      <c r="AS23" s="313"/>
      <c r="AT23" s="313"/>
    </row>
    <row r="24" spans="1:125" s="314" customFormat="1" ht="13.5" customHeight="1">
      <c r="A24" s="352">
        <v>6</v>
      </c>
      <c r="B24" s="330" t="s">
        <v>196</v>
      </c>
      <c r="C24" s="354">
        <v>965049111</v>
      </c>
      <c r="D24" s="354" t="s">
        <v>612</v>
      </c>
      <c r="E24" s="354" t="s">
        <v>122</v>
      </c>
      <c r="F24" s="355">
        <f>SUM(F25:F25)</f>
        <v>2.8559999999999999</v>
      </c>
      <c r="G24" s="503"/>
      <c r="H24" s="356">
        <f>F24*G24</f>
        <v>0</v>
      </c>
      <c r="I24" s="332" t="s">
        <v>738</v>
      </c>
      <c r="J24" s="411"/>
      <c r="K24" s="313"/>
      <c r="L24" s="362"/>
      <c r="M24" s="362"/>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c r="AL24" s="313"/>
      <c r="AM24" s="313"/>
      <c r="AN24" s="313"/>
      <c r="AO24" s="313"/>
      <c r="AP24" s="313"/>
      <c r="AQ24" s="313"/>
      <c r="AR24" s="313"/>
      <c r="AS24" s="313"/>
      <c r="AT24" s="313"/>
    </row>
    <row r="25" spans="1:125" s="314" customFormat="1" ht="13.5" customHeight="1">
      <c r="A25" s="352"/>
      <c r="B25" s="354"/>
      <c r="C25" s="354"/>
      <c r="D25" s="358" t="s">
        <v>613</v>
      </c>
      <c r="E25" s="354"/>
      <c r="F25" s="392">
        <f>(8.4*3.4)*0.1</f>
        <v>2.8559999999999999</v>
      </c>
      <c r="G25" s="356"/>
      <c r="H25" s="356"/>
      <c r="I25" s="360"/>
      <c r="J25" s="986"/>
      <c r="K25" s="313"/>
      <c r="L25" s="362"/>
      <c r="M25" s="362"/>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3"/>
      <c r="AL25" s="313"/>
      <c r="AM25" s="313"/>
      <c r="AN25" s="313"/>
      <c r="AO25" s="313"/>
      <c r="AP25" s="313"/>
      <c r="AQ25" s="313"/>
      <c r="AR25" s="313"/>
      <c r="AS25" s="313"/>
      <c r="AT25" s="313"/>
    </row>
    <row r="26" spans="1:125" s="314" customFormat="1" ht="27" customHeight="1">
      <c r="A26" s="352">
        <v>7</v>
      </c>
      <c r="B26" s="330" t="s">
        <v>196</v>
      </c>
      <c r="C26" s="354">
        <v>981011413</v>
      </c>
      <c r="D26" s="354" t="s">
        <v>360</v>
      </c>
      <c r="E26" s="354" t="s">
        <v>122</v>
      </c>
      <c r="F26" s="355">
        <f>SUM(F28:F30)</f>
        <v>138.52514664020794</v>
      </c>
      <c r="G26" s="503"/>
      <c r="H26" s="356">
        <f>F26*G26</f>
        <v>0</v>
      </c>
      <c r="I26" s="332" t="s">
        <v>738</v>
      </c>
      <c r="J26" s="390"/>
      <c r="K26" s="391"/>
      <c r="L26" s="362"/>
      <c r="M26" s="362"/>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3"/>
      <c r="AL26" s="313"/>
      <c r="AM26" s="313"/>
      <c r="AN26" s="313"/>
      <c r="AO26" s="313"/>
      <c r="AP26" s="313"/>
      <c r="AQ26" s="313"/>
      <c r="AR26" s="313"/>
      <c r="AS26" s="313"/>
      <c r="AT26" s="313"/>
    </row>
    <row r="27" spans="1:125" s="314" customFormat="1" ht="13.5" customHeight="1">
      <c r="A27" s="352"/>
      <c r="B27" s="354"/>
      <c r="C27" s="354"/>
      <c r="D27" s="358" t="s">
        <v>332</v>
      </c>
      <c r="E27" s="354"/>
      <c r="F27" s="392"/>
      <c r="G27" s="356"/>
      <c r="H27" s="356"/>
      <c r="I27" s="360"/>
      <c r="J27" s="376"/>
      <c r="K27" s="313"/>
      <c r="L27" s="362"/>
      <c r="M27" s="362"/>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3"/>
      <c r="AL27" s="313"/>
      <c r="AM27" s="313"/>
      <c r="AN27" s="313"/>
      <c r="AO27" s="313"/>
      <c r="AP27" s="313"/>
      <c r="AQ27" s="313"/>
      <c r="AR27" s="313"/>
      <c r="AS27" s="313"/>
      <c r="AT27" s="313"/>
    </row>
    <row r="28" spans="1:125" s="314" customFormat="1" ht="13.5" customHeight="1">
      <c r="A28" s="352"/>
      <c r="B28" s="354"/>
      <c r="C28" s="354"/>
      <c r="D28" s="358" t="s">
        <v>353</v>
      </c>
      <c r="E28" s="354"/>
      <c r="F28" s="392">
        <f>(9*4)*2.7</f>
        <v>97.2</v>
      </c>
      <c r="G28" s="356"/>
      <c r="H28" s="356"/>
      <c r="I28" s="360"/>
      <c r="J28" s="393"/>
      <c r="K28" s="313"/>
      <c r="L28" s="362"/>
      <c r="M28" s="362"/>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3"/>
      <c r="AK28" s="313"/>
      <c r="AL28" s="313"/>
      <c r="AM28" s="313"/>
      <c r="AN28" s="313"/>
      <c r="AO28" s="313"/>
      <c r="AP28" s="313"/>
      <c r="AQ28" s="313"/>
      <c r="AR28" s="313"/>
      <c r="AS28" s="313"/>
      <c r="AT28" s="313"/>
    </row>
    <row r="29" spans="1:125" s="314" customFormat="1" ht="13.5" customHeight="1">
      <c r="A29" s="352"/>
      <c r="B29" s="354"/>
      <c r="C29" s="354"/>
      <c r="D29" s="358" t="s">
        <v>354</v>
      </c>
      <c r="E29" s="354"/>
      <c r="F29" s="392">
        <f>(((1.68*2)/2)*2)*9</f>
        <v>30.24</v>
      </c>
      <c r="G29" s="356"/>
      <c r="H29" s="356"/>
      <c r="I29" s="360"/>
      <c r="J29" s="393"/>
      <c r="K29" s="313"/>
      <c r="L29" s="362"/>
      <c r="M29" s="362"/>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3"/>
      <c r="AK29" s="313"/>
      <c r="AL29" s="313"/>
      <c r="AM29" s="313"/>
      <c r="AN29" s="313"/>
      <c r="AO29" s="313"/>
      <c r="AP29" s="313"/>
      <c r="AQ29" s="313"/>
      <c r="AR29" s="313"/>
      <c r="AS29" s="313"/>
      <c r="AT29" s="313"/>
    </row>
    <row r="30" spans="1:125" s="314" customFormat="1" ht="13.5" customHeight="1">
      <c r="A30" s="352"/>
      <c r="B30" s="354"/>
      <c r="C30" s="354"/>
      <c r="D30" s="358" t="s">
        <v>355</v>
      </c>
      <c r="E30" s="354"/>
      <c r="F30" s="392">
        <f>((5*10)/0.766791841)*0.17</f>
        <v>11.085146640207928</v>
      </c>
      <c r="G30" s="356"/>
      <c r="H30" s="356"/>
      <c r="I30" s="360"/>
      <c r="J30" s="394"/>
      <c r="K30" s="313"/>
      <c r="L30" s="362"/>
      <c r="M30" s="362"/>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3"/>
      <c r="AL30" s="313"/>
      <c r="AM30" s="313"/>
      <c r="AN30" s="313"/>
      <c r="AO30" s="313"/>
      <c r="AP30" s="313"/>
      <c r="AQ30" s="313"/>
      <c r="AR30" s="313"/>
      <c r="AS30" s="313"/>
      <c r="AT30" s="313"/>
    </row>
    <row r="31" spans="1:125" s="314" customFormat="1" ht="108" customHeight="1">
      <c r="A31" s="395"/>
      <c r="B31" s="396"/>
      <c r="C31" s="397"/>
      <c r="D31" s="403" t="s">
        <v>684</v>
      </c>
      <c r="E31" s="397"/>
      <c r="F31" s="399"/>
      <c r="G31" s="400"/>
      <c r="H31" s="400"/>
      <c r="I31" s="401"/>
      <c r="J31" s="402"/>
      <c r="K31" s="313"/>
      <c r="L31" s="362"/>
      <c r="M31" s="362"/>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3"/>
      <c r="AL31" s="313"/>
      <c r="AM31" s="313"/>
      <c r="AN31" s="313"/>
      <c r="AO31" s="313"/>
      <c r="AP31" s="313"/>
      <c r="AQ31" s="313"/>
      <c r="AR31" s="313"/>
      <c r="AS31" s="313"/>
      <c r="AT31" s="313"/>
    </row>
    <row r="32" spans="1:125" s="314" customFormat="1" ht="27" customHeight="1">
      <c r="A32" s="395"/>
      <c r="B32" s="396"/>
      <c r="C32" s="397"/>
      <c r="D32" s="403" t="s">
        <v>197</v>
      </c>
      <c r="E32" s="397"/>
      <c r="F32" s="399"/>
      <c r="G32" s="400"/>
      <c r="H32" s="400"/>
      <c r="I32" s="401"/>
      <c r="J32" s="404"/>
      <c r="K32" s="313"/>
      <c r="L32" s="362"/>
      <c r="M32" s="362"/>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3"/>
      <c r="AL32" s="313"/>
      <c r="AM32" s="313"/>
      <c r="AN32" s="313"/>
      <c r="AO32" s="313"/>
      <c r="AP32" s="313"/>
      <c r="AQ32" s="313"/>
      <c r="AR32" s="313"/>
      <c r="AS32" s="313"/>
      <c r="AT32" s="313"/>
    </row>
    <row r="33" spans="1:125" s="314" customFormat="1" ht="13.5" customHeight="1">
      <c r="A33" s="395"/>
      <c r="B33" s="396"/>
      <c r="C33" s="397"/>
      <c r="D33" s="358" t="s">
        <v>356</v>
      </c>
      <c r="E33" s="397"/>
      <c r="F33" s="399"/>
      <c r="G33" s="400"/>
      <c r="H33" s="400"/>
      <c r="I33" s="401"/>
      <c r="J33" s="404"/>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13"/>
      <c r="AL33" s="313"/>
      <c r="AM33" s="313"/>
      <c r="AN33" s="313"/>
      <c r="AO33" s="313"/>
      <c r="AP33" s="313"/>
      <c r="AQ33" s="313"/>
      <c r="AR33" s="313"/>
      <c r="AS33" s="313"/>
      <c r="AT33" s="313"/>
    </row>
    <row r="34" spans="1:125" s="314" customFormat="1" ht="148.5" customHeight="1">
      <c r="A34" s="395"/>
      <c r="B34" s="396"/>
      <c r="C34" s="397"/>
      <c r="D34" s="403" t="s">
        <v>362</v>
      </c>
      <c r="E34" s="397"/>
      <c r="F34" s="399"/>
      <c r="G34" s="400"/>
      <c r="H34" s="400"/>
      <c r="I34" s="401"/>
      <c r="J34" s="404"/>
      <c r="K34" s="987"/>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3"/>
      <c r="AL34" s="313"/>
      <c r="AM34" s="313"/>
      <c r="AN34" s="313"/>
      <c r="AO34" s="313"/>
      <c r="AP34" s="313"/>
      <c r="AQ34" s="313"/>
      <c r="AR34" s="313"/>
      <c r="AS34" s="313"/>
      <c r="AT34" s="313"/>
    </row>
    <row r="35" spans="1:125" s="314" customFormat="1" ht="13.5" customHeight="1">
      <c r="A35" s="352">
        <v>8</v>
      </c>
      <c r="B35" s="330" t="s">
        <v>196</v>
      </c>
      <c r="C35" s="354">
        <v>981513114</v>
      </c>
      <c r="D35" s="354" t="s">
        <v>198</v>
      </c>
      <c r="E35" s="354" t="s">
        <v>122</v>
      </c>
      <c r="F35" s="355">
        <f>SUM(F36:F36)</f>
        <v>3.7664999999999997</v>
      </c>
      <c r="G35" s="503"/>
      <c r="H35" s="356">
        <f>F35*G35</f>
        <v>0</v>
      </c>
      <c r="I35" s="332" t="s">
        <v>738</v>
      </c>
      <c r="J35" s="411"/>
      <c r="K35" s="313"/>
      <c r="L35" s="362"/>
      <c r="M35" s="362"/>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3"/>
      <c r="AL35" s="313"/>
      <c r="AM35" s="313"/>
      <c r="AN35" s="313"/>
      <c r="AO35" s="313"/>
      <c r="AP35" s="313"/>
      <c r="AQ35" s="313"/>
      <c r="AR35" s="313"/>
      <c r="AS35" s="313"/>
      <c r="AT35" s="313"/>
    </row>
    <row r="36" spans="1:125" s="314" customFormat="1" ht="13.5" customHeight="1">
      <c r="A36" s="352"/>
      <c r="B36" s="354"/>
      <c r="C36" s="354"/>
      <c r="D36" s="358" t="s">
        <v>365</v>
      </c>
      <c r="E36" s="354"/>
      <c r="F36" s="392">
        <f>(8.1*3.1)*0.15</f>
        <v>3.7664999999999997</v>
      </c>
      <c r="G36" s="356"/>
      <c r="H36" s="356"/>
      <c r="I36" s="360"/>
      <c r="J36" s="988"/>
      <c r="K36" s="313"/>
      <c r="L36" s="362"/>
      <c r="M36" s="362"/>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3"/>
      <c r="AL36" s="313"/>
      <c r="AM36" s="313"/>
      <c r="AN36" s="313"/>
      <c r="AO36" s="313"/>
      <c r="AP36" s="313"/>
      <c r="AQ36" s="313"/>
      <c r="AR36" s="313"/>
      <c r="AS36" s="313"/>
      <c r="AT36" s="313"/>
    </row>
    <row r="37" spans="1:125" s="314" customFormat="1" ht="27" customHeight="1">
      <c r="A37" s="416">
        <v>9</v>
      </c>
      <c r="B37" s="353" t="s">
        <v>208</v>
      </c>
      <c r="C37" s="354" t="s">
        <v>202</v>
      </c>
      <c r="D37" s="354" t="s">
        <v>433</v>
      </c>
      <c r="E37" s="354" t="s">
        <v>98</v>
      </c>
      <c r="F37" s="355">
        <f>SUM(F39:F40)</f>
        <v>56.44</v>
      </c>
      <c r="G37" s="503"/>
      <c r="H37" s="356">
        <f>F37*G37</f>
        <v>0</v>
      </c>
      <c r="I37" s="417" t="s">
        <v>740</v>
      </c>
      <c r="J37" s="418"/>
      <c r="K37" s="419"/>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s="313"/>
      <c r="AI37" s="313"/>
      <c r="AJ37" s="313"/>
      <c r="AK37" s="313"/>
      <c r="AL37" s="313"/>
      <c r="AM37" s="313"/>
      <c r="AN37" s="313"/>
      <c r="AO37" s="313"/>
      <c r="AP37" s="313"/>
      <c r="AQ37" s="313"/>
      <c r="AR37" s="313"/>
      <c r="AS37" s="313"/>
      <c r="AT37" s="313"/>
    </row>
    <row r="38" spans="1:125" s="314" customFormat="1" ht="67.5" customHeight="1">
      <c r="A38" s="420"/>
      <c r="B38" s="354"/>
      <c r="C38" s="354"/>
      <c r="D38" s="421" t="s">
        <v>609</v>
      </c>
      <c r="E38" s="354"/>
      <c r="F38" s="392"/>
      <c r="G38" s="356"/>
      <c r="H38" s="356"/>
      <c r="I38" s="422"/>
      <c r="J38" s="418"/>
      <c r="K38" s="419"/>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3"/>
      <c r="AL38" s="313"/>
      <c r="AM38" s="313"/>
      <c r="AN38" s="313"/>
      <c r="AO38" s="313"/>
      <c r="AP38" s="313"/>
      <c r="AQ38" s="313"/>
      <c r="AR38" s="313"/>
      <c r="AS38" s="313"/>
      <c r="AT38" s="313"/>
    </row>
    <row r="39" spans="1:125" s="432" customFormat="1" ht="13.5" customHeight="1">
      <c r="A39" s="423"/>
      <c r="B39" s="424"/>
      <c r="C39" s="425"/>
      <c r="D39" s="426" t="s">
        <v>607</v>
      </c>
      <c r="E39" s="427"/>
      <c r="F39" s="428">
        <f>17.68+10.2</f>
        <v>27.88</v>
      </c>
      <c r="G39" s="429"/>
      <c r="H39" s="429"/>
      <c r="I39" s="417"/>
      <c r="J39" s="430"/>
      <c r="K39" s="431"/>
      <c r="L39" s="431"/>
      <c r="M39" s="431"/>
      <c r="N39" s="431"/>
      <c r="O39" s="431"/>
      <c r="P39" s="431"/>
      <c r="Q39" s="431"/>
      <c r="R39" s="431"/>
      <c r="S39" s="431"/>
      <c r="T39" s="431"/>
      <c r="U39" s="431"/>
      <c r="V39" s="431"/>
      <c r="W39" s="431"/>
      <c r="X39" s="431"/>
      <c r="Y39" s="431"/>
      <c r="Z39" s="431"/>
      <c r="AA39" s="431"/>
      <c r="AB39" s="431"/>
      <c r="AC39" s="431"/>
      <c r="AD39" s="431"/>
      <c r="AE39" s="431"/>
      <c r="AF39" s="431"/>
      <c r="AG39" s="431"/>
      <c r="AH39" s="431"/>
      <c r="AI39" s="431"/>
      <c r="AJ39" s="431"/>
      <c r="AK39" s="431"/>
      <c r="AL39" s="431"/>
      <c r="AM39" s="431"/>
      <c r="AN39" s="431"/>
      <c r="AO39" s="431"/>
      <c r="AP39" s="431"/>
      <c r="AQ39" s="431"/>
      <c r="AR39" s="431"/>
      <c r="AS39" s="431"/>
      <c r="AT39" s="431"/>
    </row>
    <row r="40" spans="1:125" s="432" customFormat="1" ht="13.5" customHeight="1">
      <c r="A40" s="423"/>
      <c r="B40" s="424"/>
      <c r="C40" s="425"/>
      <c r="D40" s="426" t="s">
        <v>608</v>
      </c>
      <c r="E40" s="427"/>
      <c r="F40" s="428">
        <f>8.4*3.4</f>
        <v>28.56</v>
      </c>
      <c r="G40" s="429"/>
      <c r="H40" s="429"/>
      <c r="I40" s="417"/>
      <c r="J40" s="430"/>
      <c r="K40" s="431"/>
      <c r="L40" s="431"/>
      <c r="M40" s="431"/>
      <c r="N40" s="431"/>
      <c r="O40" s="431"/>
      <c r="P40" s="431"/>
      <c r="Q40" s="431"/>
      <c r="R40" s="431"/>
      <c r="S40" s="431"/>
      <c r="T40" s="431"/>
      <c r="U40" s="431"/>
      <c r="V40" s="431"/>
      <c r="W40" s="431"/>
      <c r="X40" s="431"/>
      <c r="Y40" s="431"/>
      <c r="Z40" s="431"/>
      <c r="AA40" s="431"/>
      <c r="AB40" s="431"/>
      <c r="AC40" s="431"/>
      <c r="AD40" s="431"/>
      <c r="AE40" s="431"/>
      <c r="AF40" s="431"/>
      <c r="AG40" s="431"/>
      <c r="AH40" s="431"/>
      <c r="AI40" s="431"/>
      <c r="AJ40" s="431"/>
      <c r="AK40" s="431"/>
      <c r="AL40" s="431"/>
      <c r="AM40" s="431"/>
      <c r="AN40" s="431"/>
      <c r="AO40" s="431"/>
      <c r="AP40" s="431"/>
      <c r="AQ40" s="431"/>
      <c r="AR40" s="431"/>
      <c r="AS40" s="431"/>
      <c r="AT40" s="431"/>
    </row>
    <row r="41" spans="1:125" s="314" customFormat="1" ht="67.5" customHeight="1">
      <c r="A41" s="352"/>
      <c r="B41" s="354"/>
      <c r="C41" s="354"/>
      <c r="D41" s="388" t="s">
        <v>195</v>
      </c>
      <c r="E41" s="354"/>
      <c r="F41" s="354"/>
      <c r="G41" s="356"/>
      <c r="H41" s="356"/>
      <c r="I41" s="332"/>
      <c r="J41" s="43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3"/>
      <c r="AL41" s="313"/>
      <c r="AM41" s="313"/>
      <c r="AN41" s="313"/>
      <c r="AO41" s="313"/>
      <c r="AP41" s="313"/>
      <c r="AQ41" s="313"/>
      <c r="AR41" s="313"/>
      <c r="AS41" s="313"/>
      <c r="AT41" s="313"/>
    </row>
    <row r="42" spans="1:125" s="335" customFormat="1" ht="13.5" customHeight="1">
      <c r="A42" s="434">
        <v>10</v>
      </c>
      <c r="B42" s="424" t="s">
        <v>133</v>
      </c>
      <c r="C42" s="427" t="s">
        <v>199</v>
      </c>
      <c r="D42" s="435" t="s">
        <v>630</v>
      </c>
      <c r="E42" s="435" t="s">
        <v>125</v>
      </c>
      <c r="F42" s="436">
        <f>F43</f>
        <v>51.256</v>
      </c>
      <c r="G42" s="437">
        <f>SUM(H44:H46)/F42</f>
        <v>0</v>
      </c>
      <c r="H42" s="437">
        <f>F42*G42</f>
        <v>0</v>
      </c>
      <c r="I42" s="332" t="s">
        <v>739</v>
      </c>
      <c r="J42" s="438"/>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3"/>
      <c r="AL42" s="333"/>
      <c r="AM42" s="333"/>
      <c r="AN42" s="333"/>
      <c r="AO42" s="333"/>
      <c r="AP42" s="333"/>
      <c r="AQ42" s="333"/>
      <c r="AR42" s="333"/>
      <c r="AS42" s="333"/>
      <c r="AT42" s="333"/>
      <c r="AU42" s="333"/>
      <c r="AV42" s="333"/>
      <c r="AW42" s="333"/>
      <c r="AX42" s="333"/>
      <c r="AY42" s="333"/>
      <c r="AZ42" s="333"/>
      <c r="BA42" s="333"/>
      <c r="BB42" s="333"/>
      <c r="BC42" s="333"/>
      <c r="BD42" s="333"/>
      <c r="BE42" s="333"/>
      <c r="BF42" s="333"/>
      <c r="BG42" s="333"/>
      <c r="BH42" s="333"/>
      <c r="BI42" s="333"/>
      <c r="BJ42" s="333"/>
      <c r="BK42" s="333"/>
      <c r="BL42" s="333"/>
      <c r="BM42" s="333"/>
      <c r="BN42" s="333"/>
      <c r="BO42" s="333"/>
      <c r="BP42" s="333"/>
      <c r="BQ42" s="333"/>
      <c r="BR42" s="333"/>
      <c r="BS42" s="333"/>
      <c r="BT42" s="333"/>
      <c r="BU42" s="333"/>
      <c r="BV42" s="333"/>
      <c r="BW42" s="333"/>
      <c r="BX42" s="333"/>
      <c r="BY42" s="333"/>
      <c r="BZ42" s="333"/>
      <c r="CA42" s="333"/>
      <c r="CB42" s="333"/>
      <c r="CC42" s="333"/>
      <c r="CD42" s="333"/>
      <c r="CE42" s="333"/>
      <c r="CF42" s="333"/>
      <c r="CG42" s="333"/>
      <c r="CH42" s="333"/>
      <c r="CI42" s="333"/>
      <c r="CJ42" s="333"/>
      <c r="CK42" s="333"/>
      <c r="CL42" s="333"/>
      <c r="CM42" s="333"/>
      <c r="CN42" s="333"/>
      <c r="CO42" s="333"/>
      <c r="CP42" s="333"/>
      <c r="CQ42" s="333"/>
      <c r="CR42" s="333"/>
      <c r="CS42" s="333"/>
      <c r="CT42" s="333"/>
      <c r="CU42" s="333"/>
      <c r="CV42" s="333"/>
      <c r="CW42" s="333"/>
      <c r="CX42" s="333"/>
      <c r="CY42" s="333"/>
      <c r="CZ42" s="333"/>
      <c r="DA42" s="333"/>
      <c r="DB42" s="333"/>
      <c r="DC42" s="333"/>
      <c r="DD42" s="333"/>
      <c r="DE42" s="333"/>
      <c r="DF42" s="333"/>
      <c r="DG42" s="333"/>
      <c r="DH42" s="333"/>
      <c r="DI42" s="333"/>
      <c r="DJ42" s="333"/>
      <c r="DK42" s="333"/>
      <c r="DL42" s="333"/>
      <c r="DM42" s="333"/>
      <c r="DN42" s="333"/>
      <c r="DO42" s="333"/>
      <c r="DP42" s="333"/>
      <c r="DQ42" s="333"/>
      <c r="DR42" s="333"/>
      <c r="DS42" s="333"/>
      <c r="DT42" s="333"/>
      <c r="DU42" s="333"/>
    </row>
    <row r="43" spans="1:125" s="335" customFormat="1" ht="13.5" customHeight="1">
      <c r="A43" s="379"/>
      <c r="B43" s="85"/>
      <c r="C43" s="85"/>
      <c r="D43" s="117" t="s">
        <v>431</v>
      </c>
      <c r="E43" s="439"/>
      <c r="F43" s="337">
        <f>51.256</f>
        <v>51.256</v>
      </c>
      <c r="G43" s="440"/>
      <c r="H43" s="440"/>
      <c r="I43" s="441"/>
      <c r="J43" s="989"/>
      <c r="K43" s="333"/>
      <c r="L43" s="442"/>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3"/>
      <c r="AL43" s="333"/>
      <c r="AM43" s="333"/>
      <c r="AN43" s="333"/>
      <c r="AO43" s="333"/>
      <c r="AP43" s="333"/>
      <c r="AQ43" s="333"/>
      <c r="AR43" s="333"/>
      <c r="AS43" s="333"/>
      <c r="AT43" s="333"/>
      <c r="AU43" s="333"/>
      <c r="AV43" s="333"/>
      <c r="AW43" s="333"/>
      <c r="AX43" s="333"/>
      <c r="AY43" s="333"/>
      <c r="AZ43" s="333"/>
      <c r="BA43" s="333"/>
      <c r="BB43" s="333"/>
      <c r="BC43" s="333"/>
      <c r="BD43" s="333"/>
      <c r="BE43" s="333"/>
      <c r="BF43" s="333"/>
      <c r="BG43" s="333"/>
      <c r="BH43" s="333"/>
      <c r="BI43" s="333"/>
      <c r="BJ43" s="333"/>
      <c r="BK43" s="333"/>
      <c r="BL43" s="333"/>
      <c r="BM43" s="333"/>
      <c r="BN43" s="333"/>
      <c r="BO43" s="333"/>
      <c r="BP43" s="333"/>
      <c r="BQ43" s="333"/>
      <c r="BR43" s="333"/>
      <c r="BS43" s="333"/>
      <c r="BT43" s="333"/>
      <c r="BU43" s="333"/>
      <c r="BV43" s="333"/>
      <c r="BW43" s="333"/>
      <c r="BX43" s="333"/>
      <c r="BY43" s="333"/>
      <c r="BZ43" s="333"/>
      <c r="CA43" s="333"/>
      <c r="CB43" s="333"/>
      <c r="CC43" s="333"/>
      <c r="CD43" s="333"/>
      <c r="CE43" s="333"/>
      <c r="CF43" s="333"/>
      <c r="CG43" s="333"/>
      <c r="CH43" s="333"/>
      <c r="CI43" s="333"/>
      <c r="CJ43" s="333"/>
      <c r="CK43" s="333"/>
      <c r="CL43" s="333"/>
      <c r="CM43" s="333"/>
      <c r="CN43" s="333"/>
      <c r="CO43" s="333"/>
      <c r="CP43" s="333"/>
      <c r="CQ43" s="333"/>
      <c r="CR43" s="333"/>
      <c r="CS43" s="333"/>
      <c r="CT43" s="333"/>
      <c r="CU43" s="333"/>
      <c r="CV43" s="333"/>
      <c r="CW43" s="333"/>
      <c r="CX43" s="333"/>
      <c r="CY43" s="333"/>
      <c r="CZ43" s="333"/>
      <c r="DA43" s="333"/>
      <c r="DB43" s="333"/>
      <c r="DC43" s="333"/>
      <c r="DD43" s="333"/>
      <c r="DE43" s="333"/>
      <c r="DF43" s="333"/>
      <c r="DG43" s="333"/>
      <c r="DH43" s="333"/>
      <c r="DI43" s="333"/>
      <c r="DJ43" s="333"/>
      <c r="DK43" s="333"/>
      <c r="DL43" s="333"/>
      <c r="DM43" s="333"/>
      <c r="DN43" s="333"/>
      <c r="DO43" s="333"/>
      <c r="DP43" s="333"/>
      <c r="DQ43" s="333"/>
      <c r="DR43" s="333"/>
      <c r="DS43" s="333"/>
      <c r="DT43" s="333"/>
      <c r="DU43" s="333"/>
    </row>
    <row r="44" spans="1:125" s="335" customFormat="1" ht="13.5" customHeight="1">
      <c r="A44" s="443" t="s">
        <v>439</v>
      </c>
      <c r="B44" s="444"/>
      <c r="C44" s="445">
        <v>997006512</v>
      </c>
      <c r="D44" s="358" t="s">
        <v>188</v>
      </c>
      <c r="E44" s="446" t="s">
        <v>125</v>
      </c>
      <c r="F44" s="447">
        <f>F42</f>
        <v>51.256</v>
      </c>
      <c r="G44" s="81"/>
      <c r="H44" s="448">
        <f>F44*G44</f>
        <v>0</v>
      </c>
      <c r="I44" s="449" t="s">
        <v>738</v>
      </c>
      <c r="J44" s="450"/>
      <c r="K44" s="451"/>
      <c r="L44" s="451"/>
      <c r="M44" s="451"/>
      <c r="N44" s="451"/>
      <c r="O44" s="451"/>
      <c r="P44" s="451"/>
      <c r="Q44" s="452"/>
      <c r="R44" s="452"/>
      <c r="S44" s="453"/>
      <c r="T44" s="333"/>
      <c r="U44" s="333"/>
      <c r="V44" s="333"/>
      <c r="W44" s="333"/>
      <c r="X44" s="333"/>
      <c r="Y44" s="333"/>
      <c r="Z44" s="333"/>
      <c r="AA44" s="333"/>
      <c r="AB44" s="333"/>
      <c r="AC44" s="333"/>
      <c r="AD44" s="333"/>
      <c r="AE44" s="333"/>
      <c r="AF44" s="333"/>
      <c r="AG44" s="333"/>
      <c r="AH44" s="333"/>
      <c r="AI44" s="333"/>
      <c r="AJ44" s="333"/>
      <c r="AK44" s="333"/>
      <c r="AL44" s="333"/>
      <c r="AM44" s="333"/>
      <c r="AN44" s="333"/>
      <c r="AO44" s="333"/>
      <c r="AP44" s="333"/>
      <c r="AQ44" s="333"/>
      <c r="AR44" s="333"/>
      <c r="AS44" s="333"/>
      <c r="AT44" s="333"/>
      <c r="AU44" s="333"/>
      <c r="AV44" s="333"/>
      <c r="AW44" s="333"/>
      <c r="AX44" s="333"/>
      <c r="AY44" s="333"/>
      <c r="AZ44" s="333"/>
      <c r="BA44" s="333"/>
      <c r="BB44" s="333"/>
      <c r="BC44" s="333"/>
      <c r="BD44" s="333"/>
      <c r="BE44" s="333"/>
      <c r="BF44" s="333"/>
      <c r="BG44" s="333"/>
      <c r="BH44" s="333"/>
      <c r="BI44" s="333"/>
      <c r="BJ44" s="333"/>
      <c r="BK44" s="333"/>
      <c r="BL44" s="333"/>
      <c r="BM44" s="333"/>
      <c r="BN44" s="333"/>
      <c r="BO44" s="333"/>
      <c r="BP44" s="333"/>
      <c r="BQ44" s="333"/>
      <c r="BR44" s="333"/>
      <c r="BS44" s="333"/>
      <c r="BT44" s="333"/>
      <c r="BU44" s="333"/>
      <c r="BV44" s="333"/>
      <c r="BW44" s="333"/>
      <c r="BX44" s="333"/>
      <c r="BY44" s="333"/>
      <c r="BZ44" s="333"/>
      <c r="CA44" s="333"/>
      <c r="CB44" s="333"/>
      <c r="CC44" s="333"/>
      <c r="CD44" s="333"/>
      <c r="CE44" s="333"/>
      <c r="CF44" s="333"/>
      <c r="CG44" s="333"/>
      <c r="CH44" s="333"/>
      <c r="CI44" s="333"/>
      <c r="CJ44" s="333"/>
      <c r="CK44" s="333"/>
      <c r="CL44" s="333"/>
      <c r="CM44" s="333"/>
      <c r="CN44" s="333"/>
      <c r="CO44" s="333"/>
      <c r="CP44" s="333"/>
      <c r="CQ44" s="333"/>
      <c r="CR44" s="333"/>
      <c r="CS44" s="333"/>
      <c r="CT44" s="333"/>
      <c r="CU44" s="333"/>
      <c r="CV44" s="333"/>
      <c r="CW44" s="333"/>
      <c r="CX44" s="333"/>
      <c r="CY44" s="333"/>
      <c r="CZ44" s="333"/>
      <c r="DA44" s="333"/>
      <c r="DB44" s="333"/>
      <c r="DC44" s="333"/>
      <c r="DD44" s="333"/>
      <c r="DE44" s="333"/>
      <c r="DF44" s="333"/>
      <c r="DG44" s="333"/>
      <c r="DH44" s="333"/>
      <c r="DI44" s="333"/>
      <c r="DJ44" s="333"/>
      <c r="DK44" s="333"/>
      <c r="DL44" s="333"/>
      <c r="DM44" s="333"/>
      <c r="DN44" s="333"/>
      <c r="DO44" s="333"/>
      <c r="DP44" s="333"/>
      <c r="DQ44" s="333"/>
      <c r="DR44" s="333"/>
      <c r="DS44" s="333"/>
      <c r="DT44" s="333"/>
      <c r="DU44" s="333"/>
    </row>
    <row r="45" spans="1:125" s="335" customFormat="1" ht="27" customHeight="1">
      <c r="A45" s="443" t="s">
        <v>440</v>
      </c>
      <c r="B45" s="444"/>
      <c r="C45" s="445">
        <v>997006519</v>
      </c>
      <c r="D45" s="358" t="s">
        <v>189</v>
      </c>
      <c r="E45" s="446" t="s">
        <v>125</v>
      </c>
      <c r="F45" s="447">
        <f>F42*5</f>
        <v>256.27999999999997</v>
      </c>
      <c r="G45" s="81"/>
      <c r="H45" s="448">
        <f>F45*G45</f>
        <v>0</v>
      </c>
      <c r="I45" s="449" t="s">
        <v>738</v>
      </c>
      <c r="J45" s="450"/>
      <c r="K45" s="451"/>
      <c r="L45" s="451"/>
      <c r="M45" s="451"/>
      <c r="N45" s="451"/>
      <c r="O45" s="451"/>
      <c r="P45" s="451"/>
      <c r="Q45" s="452"/>
      <c r="R45" s="452"/>
      <c r="S45" s="453"/>
      <c r="T45" s="333"/>
      <c r="U45" s="333"/>
      <c r="V45" s="333"/>
      <c r="W45" s="333"/>
      <c r="X45" s="333"/>
      <c r="Y45" s="333"/>
      <c r="Z45" s="333"/>
      <c r="AA45" s="333"/>
      <c r="AB45" s="333"/>
      <c r="AC45" s="333"/>
      <c r="AD45" s="333"/>
      <c r="AE45" s="333"/>
      <c r="AF45" s="333"/>
      <c r="AG45" s="333"/>
      <c r="AH45" s="333"/>
      <c r="AI45" s="333"/>
      <c r="AJ45" s="333"/>
      <c r="AK45" s="333"/>
      <c r="AL45" s="333"/>
      <c r="AM45" s="333"/>
      <c r="AN45" s="333"/>
      <c r="AO45" s="333"/>
      <c r="AP45" s="333"/>
      <c r="AQ45" s="333"/>
      <c r="AR45" s="333"/>
      <c r="AS45" s="333"/>
      <c r="AT45" s="333"/>
      <c r="AU45" s="333"/>
      <c r="AV45" s="333"/>
      <c r="AW45" s="333"/>
      <c r="AX45" s="333"/>
      <c r="AY45" s="333"/>
      <c r="AZ45" s="333"/>
      <c r="BA45" s="333"/>
      <c r="BB45" s="333"/>
      <c r="BC45" s="333"/>
      <c r="BD45" s="333"/>
      <c r="BE45" s="333"/>
      <c r="BF45" s="333"/>
      <c r="BG45" s="333"/>
      <c r="BH45" s="333"/>
      <c r="BI45" s="333"/>
      <c r="BJ45" s="333"/>
      <c r="BK45" s="333"/>
      <c r="BL45" s="333"/>
      <c r="BM45" s="333"/>
      <c r="BN45" s="333"/>
      <c r="BO45" s="333"/>
      <c r="BP45" s="333"/>
      <c r="BQ45" s="333"/>
      <c r="BR45" s="333"/>
      <c r="BS45" s="333"/>
      <c r="BT45" s="333"/>
      <c r="BU45" s="333"/>
      <c r="BV45" s="333"/>
      <c r="BW45" s="333"/>
      <c r="BX45" s="333"/>
      <c r="BY45" s="333"/>
      <c r="BZ45" s="333"/>
      <c r="CA45" s="333"/>
      <c r="CB45" s="333"/>
      <c r="CC45" s="333"/>
      <c r="CD45" s="333"/>
      <c r="CE45" s="333"/>
      <c r="CF45" s="333"/>
      <c r="CG45" s="333"/>
      <c r="CH45" s="333"/>
      <c r="CI45" s="333"/>
      <c r="CJ45" s="333"/>
      <c r="CK45" s="333"/>
      <c r="CL45" s="333"/>
      <c r="CM45" s="333"/>
      <c r="CN45" s="333"/>
      <c r="CO45" s="333"/>
      <c r="CP45" s="333"/>
      <c r="CQ45" s="333"/>
      <c r="CR45" s="333"/>
      <c r="CS45" s="333"/>
      <c r="CT45" s="333"/>
      <c r="CU45" s="333"/>
      <c r="CV45" s="333"/>
      <c r="CW45" s="333"/>
      <c r="CX45" s="333"/>
      <c r="CY45" s="333"/>
      <c r="CZ45" s="333"/>
      <c r="DA45" s="333"/>
      <c r="DB45" s="333"/>
      <c r="DC45" s="333"/>
      <c r="DD45" s="333"/>
      <c r="DE45" s="333"/>
      <c r="DF45" s="333"/>
      <c r="DG45" s="333"/>
      <c r="DH45" s="333"/>
      <c r="DI45" s="333"/>
      <c r="DJ45" s="333"/>
      <c r="DK45" s="333"/>
      <c r="DL45" s="333"/>
      <c r="DM45" s="333"/>
      <c r="DN45" s="333"/>
      <c r="DO45" s="333"/>
      <c r="DP45" s="333"/>
      <c r="DQ45" s="333"/>
      <c r="DR45" s="333"/>
      <c r="DS45" s="333"/>
      <c r="DT45" s="333"/>
      <c r="DU45" s="333"/>
    </row>
    <row r="46" spans="1:125" s="335" customFormat="1" ht="27" customHeight="1">
      <c r="A46" s="443" t="s">
        <v>441</v>
      </c>
      <c r="B46" s="444"/>
      <c r="C46" s="445">
        <v>997013631</v>
      </c>
      <c r="D46" s="358" t="s">
        <v>200</v>
      </c>
      <c r="E46" s="446" t="s">
        <v>125</v>
      </c>
      <c r="F46" s="447">
        <f>F43</f>
        <v>51.256</v>
      </c>
      <c r="G46" s="81"/>
      <c r="H46" s="448">
        <f>F46*G46</f>
        <v>0</v>
      </c>
      <c r="I46" s="449" t="s">
        <v>738</v>
      </c>
      <c r="J46" s="450"/>
      <c r="K46" s="451"/>
      <c r="L46" s="451"/>
      <c r="M46" s="451"/>
      <c r="N46" s="451"/>
      <c r="O46" s="451"/>
      <c r="P46" s="451"/>
      <c r="Q46" s="452"/>
      <c r="R46" s="452"/>
      <c r="S46" s="450"/>
      <c r="T46" s="333"/>
      <c r="U46" s="333"/>
      <c r="V46" s="333"/>
      <c r="W46" s="333"/>
      <c r="X46" s="333"/>
      <c r="Y46" s="333"/>
      <c r="Z46" s="333"/>
      <c r="AA46" s="333"/>
      <c r="AB46" s="333"/>
      <c r="AC46" s="333"/>
      <c r="AD46" s="333"/>
      <c r="AE46" s="333"/>
      <c r="AF46" s="333"/>
      <c r="AG46" s="333"/>
      <c r="AH46" s="333"/>
      <c r="AI46" s="333"/>
      <c r="AJ46" s="333"/>
      <c r="AK46" s="333"/>
      <c r="AL46" s="333"/>
      <c r="AM46" s="333"/>
      <c r="AN46" s="333"/>
      <c r="AO46" s="333"/>
      <c r="AP46" s="333"/>
      <c r="AQ46" s="333"/>
      <c r="AR46" s="333"/>
      <c r="AS46" s="333"/>
      <c r="AT46" s="333"/>
      <c r="AU46" s="333"/>
      <c r="AV46" s="333"/>
      <c r="AW46" s="333"/>
      <c r="AX46" s="333"/>
      <c r="AY46" s="333"/>
      <c r="AZ46" s="333"/>
      <c r="BA46" s="333"/>
      <c r="BB46" s="333"/>
      <c r="BC46" s="333"/>
      <c r="BD46" s="333"/>
      <c r="BE46" s="333"/>
      <c r="BF46" s="333"/>
      <c r="BG46" s="333"/>
      <c r="BH46" s="333"/>
      <c r="BI46" s="333"/>
      <c r="BJ46" s="333"/>
      <c r="BK46" s="333"/>
      <c r="BL46" s="333"/>
      <c r="BM46" s="333"/>
      <c r="BN46" s="333"/>
      <c r="BO46" s="333"/>
      <c r="BP46" s="333"/>
      <c r="BQ46" s="333"/>
      <c r="BR46" s="333"/>
      <c r="BS46" s="333"/>
      <c r="BT46" s="333"/>
      <c r="BU46" s="333"/>
      <c r="BV46" s="333"/>
      <c r="BW46" s="333"/>
      <c r="BX46" s="333"/>
      <c r="BY46" s="333"/>
      <c r="BZ46" s="333"/>
      <c r="CA46" s="333"/>
      <c r="CB46" s="333"/>
      <c r="CC46" s="333"/>
      <c r="CD46" s="333"/>
      <c r="CE46" s="333"/>
      <c r="CF46" s="333"/>
      <c r="CG46" s="333"/>
      <c r="CH46" s="333"/>
      <c r="CI46" s="333"/>
      <c r="CJ46" s="333"/>
      <c r="CK46" s="333"/>
      <c r="CL46" s="333"/>
      <c r="CM46" s="333"/>
      <c r="CN46" s="333"/>
      <c r="CO46" s="333"/>
      <c r="CP46" s="333"/>
      <c r="CQ46" s="333"/>
      <c r="CR46" s="333"/>
      <c r="CS46" s="333"/>
      <c r="CT46" s="333"/>
      <c r="CU46" s="333"/>
      <c r="CV46" s="333"/>
      <c r="CW46" s="333"/>
      <c r="CX46" s="333"/>
      <c r="CY46" s="333"/>
      <c r="CZ46" s="333"/>
      <c r="DA46" s="333"/>
      <c r="DB46" s="333"/>
      <c r="DC46" s="333"/>
      <c r="DD46" s="333"/>
      <c r="DE46" s="333"/>
      <c r="DF46" s="333"/>
      <c r="DG46" s="333"/>
      <c r="DH46" s="333"/>
      <c r="DI46" s="333"/>
      <c r="DJ46" s="333"/>
      <c r="DK46" s="333"/>
      <c r="DL46" s="333"/>
      <c r="DM46" s="333"/>
      <c r="DN46" s="333"/>
      <c r="DO46" s="333"/>
      <c r="DP46" s="333"/>
      <c r="DQ46" s="333"/>
      <c r="DR46" s="333"/>
      <c r="DS46" s="333"/>
      <c r="DT46" s="333"/>
      <c r="DU46" s="333"/>
    </row>
    <row r="47" spans="1:125" s="335" customFormat="1" ht="67.5" customHeight="1">
      <c r="A47" s="454"/>
      <c r="B47" s="444"/>
      <c r="C47" s="455"/>
      <c r="D47" s="388" t="s">
        <v>195</v>
      </c>
      <c r="E47" s="456"/>
      <c r="F47" s="447"/>
      <c r="G47" s="457"/>
      <c r="H47" s="437"/>
      <c r="I47" s="458"/>
      <c r="J47" s="459"/>
      <c r="K47" s="452"/>
      <c r="L47" s="460"/>
      <c r="M47" s="460"/>
      <c r="N47" s="460"/>
      <c r="O47" s="452"/>
      <c r="P47" s="452"/>
      <c r="Q47" s="452"/>
      <c r="R47" s="452"/>
      <c r="S47" s="461"/>
      <c r="T47" s="462"/>
      <c r="U47" s="333"/>
      <c r="V47" s="333"/>
      <c r="W47" s="333"/>
      <c r="X47" s="333"/>
      <c r="Y47" s="333"/>
      <c r="Z47" s="333"/>
      <c r="AA47" s="333"/>
      <c r="AB47" s="333"/>
      <c r="AC47" s="333"/>
      <c r="AD47" s="333"/>
      <c r="AE47" s="333"/>
      <c r="AF47" s="333"/>
      <c r="AG47" s="333"/>
      <c r="AH47" s="333"/>
      <c r="AI47" s="333"/>
      <c r="AJ47" s="333"/>
      <c r="AK47" s="333"/>
      <c r="AL47" s="333"/>
      <c r="AM47" s="333"/>
      <c r="AN47" s="333"/>
      <c r="AO47" s="333"/>
      <c r="AP47" s="333"/>
      <c r="AQ47" s="333"/>
      <c r="AR47" s="333"/>
      <c r="AS47" s="333"/>
      <c r="AT47" s="333"/>
      <c r="AU47" s="333"/>
      <c r="AV47" s="333"/>
      <c r="AW47" s="333"/>
      <c r="AX47" s="333"/>
      <c r="AY47" s="333"/>
      <c r="AZ47" s="333"/>
      <c r="BA47" s="333"/>
      <c r="BB47" s="333"/>
      <c r="BC47" s="333"/>
      <c r="BD47" s="333"/>
      <c r="BE47" s="333"/>
      <c r="BF47" s="333"/>
      <c r="BG47" s="333"/>
      <c r="BH47" s="333"/>
      <c r="BI47" s="333"/>
      <c r="BJ47" s="333"/>
      <c r="BK47" s="333"/>
      <c r="BL47" s="333"/>
      <c r="BM47" s="333"/>
      <c r="BN47" s="333"/>
      <c r="BO47" s="333"/>
      <c r="BP47" s="333"/>
      <c r="BQ47" s="333"/>
      <c r="BR47" s="333"/>
      <c r="BS47" s="333"/>
      <c r="BT47" s="333"/>
      <c r="BU47" s="333"/>
      <c r="BV47" s="333"/>
      <c r="BW47" s="333"/>
      <c r="BX47" s="333"/>
      <c r="BY47" s="333"/>
      <c r="BZ47" s="333"/>
      <c r="CA47" s="333"/>
      <c r="CB47" s="333"/>
      <c r="CC47" s="333"/>
      <c r="CD47" s="333"/>
      <c r="CE47" s="333"/>
      <c r="CF47" s="333"/>
      <c r="CG47" s="333"/>
      <c r="CH47" s="333"/>
      <c r="CI47" s="333"/>
      <c r="CJ47" s="333"/>
      <c r="CK47" s="333"/>
      <c r="CL47" s="333"/>
      <c r="CM47" s="333"/>
      <c r="CN47" s="333"/>
      <c r="CO47" s="333"/>
      <c r="CP47" s="333"/>
      <c r="CQ47" s="333"/>
      <c r="CR47" s="333"/>
      <c r="CS47" s="333"/>
      <c r="CT47" s="333"/>
      <c r="CU47" s="333"/>
      <c r="CV47" s="333"/>
      <c r="CW47" s="333"/>
      <c r="CX47" s="333"/>
      <c r="CY47" s="333"/>
      <c r="CZ47" s="333"/>
      <c r="DA47" s="333"/>
      <c r="DB47" s="333"/>
      <c r="DC47" s="333"/>
      <c r="DD47" s="333"/>
      <c r="DE47" s="333"/>
      <c r="DF47" s="333"/>
      <c r="DG47" s="333"/>
      <c r="DH47" s="333"/>
      <c r="DI47" s="333"/>
      <c r="DJ47" s="333"/>
      <c r="DK47" s="333"/>
      <c r="DL47" s="333"/>
      <c r="DM47" s="333"/>
      <c r="DN47" s="333"/>
      <c r="DO47" s="333"/>
      <c r="DP47" s="333"/>
      <c r="DQ47" s="333"/>
      <c r="DR47" s="333"/>
      <c r="DS47" s="333"/>
      <c r="DT47" s="333"/>
      <c r="DU47" s="333"/>
    </row>
    <row r="48" spans="1:125" s="335" customFormat="1" ht="27" customHeight="1">
      <c r="A48" s="434">
        <v>11</v>
      </c>
      <c r="B48" s="424" t="s">
        <v>133</v>
      </c>
      <c r="C48" s="427" t="s">
        <v>186</v>
      </c>
      <c r="D48" s="435" t="s">
        <v>636</v>
      </c>
      <c r="E48" s="435" t="s">
        <v>125</v>
      </c>
      <c r="F48" s="436">
        <f>F49</f>
        <v>9.0860000000000003</v>
      </c>
      <c r="G48" s="437">
        <f>SUM(H50:H53)/F48</f>
        <v>0</v>
      </c>
      <c r="H48" s="437">
        <f>F48*G48</f>
        <v>0</v>
      </c>
      <c r="I48" s="332" t="s">
        <v>739</v>
      </c>
      <c r="J48" s="459"/>
      <c r="K48" s="452"/>
      <c r="L48" s="452"/>
      <c r="M48" s="452"/>
      <c r="N48" s="452"/>
      <c r="O48" s="452"/>
      <c r="P48" s="452"/>
      <c r="Q48" s="452"/>
      <c r="R48" s="452"/>
      <c r="S48" s="452"/>
      <c r="T48" s="333"/>
      <c r="U48" s="333"/>
      <c r="V48" s="333"/>
      <c r="W48" s="333"/>
      <c r="X48" s="333"/>
      <c r="Y48" s="333"/>
      <c r="Z48" s="333"/>
      <c r="AA48" s="333"/>
      <c r="AB48" s="333"/>
      <c r="AC48" s="333"/>
      <c r="AD48" s="333"/>
      <c r="AE48" s="333"/>
      <c r="AF48" s="333"/>
      <c r="AG48" s="333"/>
      <c r="AH48" s="333"/>
      <c r="AI48" s="333"/>
      <c r="AJ48" s="333"/>
      <c r="AK48" s="333"/>
      <c r="AL48" s="333"/>
      <c r="AM48" s="333"/>
      <c r="AN48" s="333"/>
      <c r="AO48" s="333"/>
      <c r="AP48" s="333"/>
      <c r="AQ48" s="333"/>
      <c r="AR48" s="333"/>
      <c r="AS48" s="333"/>
      <c r="AT48" s="333"/>
      <c r="AU48" s="333"/>
      <c r="AV48" s="333"/>
      <c r="AW48" s="333"/>
      <c r="AX48" s="333"/>
      <c r="AY48" s="333"/>
      <c r="AZ48" s="333"/>
      <c r="BA48" s="333"/>
      <c r="BB48" s="333"/>
      <c r="BC48" s="333"/>
      <c r="BD48" s="333"/>
      <c r="BE48" s="333"/>
      <c r="BF48" s="333"/>
      <c r="BG48" s="333"/>
      <c r="BH48" s="333"/>
      <c r="BI48" s="333"/>
      <c r="BJ48" s="333"/>
      <c r="BK48" s="333"/>
      <c r="BL48" s="333"/>
      <c r="BM48" s="333"/>
      <c r="BN48" s="333"/>
      <c r="BO48" s="333"/>
      <c r="BP48" s="333"/>
      <c r="BQ48" s="333"/>
      <c r="BR48" s="333"/>
      <c r="BS48" s="333"/>
      <c r="BT48" s="333"/>
      <c r="BU48" s="333"/>
      <c r="BV48" s="333"/>
      <c r="BW48" s="333"/>
      <c r="BX48" s="333"/>
      <c r="BY48" s="333"/>
      <c r="BZ48" s="333"/>
      <c r="CA48" s="333"/>
      <c r="CB48" s="333"/>
      <c r="CC48" s="333"/>
      <c r="CD48" s="333"/>
      <c r="CE48" s="333"/>
      <c r="CF48" s="333"/>
      <c r="CG48" s="333"/>
      <c r="CH48" s="333"/>
      <c r="CI48" s="333"/>
      <c r="CJ48" s="333"/>
      <c r="CK48" s="333"/>
      <c r="CL48" s="333"/>
      <c r="CM48" s="333"/>
      <c r="CN48" s="333"/>
      <c r="CO48" s="333"/>
      <c r="CP48" s="333"/>
      <c r="CQ48" s="333"/>
      <c r="CR48" s="333"/>
      <c r="CS48" s="333"/>
      <c r="CT48" s="333"/>
      <c r="CU48" s="333"/>
      <c r="CV48" s="333"/>
      <c r="CW48" s="333"/>
      <c r="CX48" s="333"/>
      <c r="CY48" s="333"/>
      <c r="CZ48" s="333"/>
      <c r="DA48" s="333"/>
      <c r="DB48" s="333"/>
      <c r="DC48" s="333"/>
      <c r="DD48" s="333"/>
      <c r="DE48" s="333"/>
      <c r="DF48" s="333"/>
      <c r="DG48" s="333"/>
      <c r="DH48" s="333"/>
      <c r="DI48" s="333"/>
      <c r="DJ48" s="333"/>
      <c r="DK48" s="333"/>
      <c r="DL48" s="333"/>
      <c r="DM48" s="333"/>
      <c r="DN48" s="333"/>
      <c r="DO48" s="333"/>
      <c r="DP48" s="333"/>
      <c r="DQ48" s="333"/>
      <c r="DR48" s="333"/>
      <c r="DS48" s="333"/>
      <c r="DT48" s="333"/>
      <c r="DU48" s="333"/>
    </row>
    <row r="49" spans="1:125" s="335" customFormat="1" ht="13.5" customHeight="1">
      <c r="A49" s="379"/>
      <c r="B49" s="85"/>
      <c r="C49" s="85"/>
      <c r="D49" s="117" t="s">
        <v>615</v>
      </c>
      <c r="E49" s="439"/>
      <c r="F49" s="337">
        <f>9.086</f>
        <v>9.0860000000000003</v>
      </c>
      <c r="G49" s="440"/>
      <c r="H49" s="440"/>
      <c r="I49" s="441"/>
      <c r="J49" s="463"/>
      <c r="K49" s="452"/>
      <c r="L49" s="464"/>
      <c r="M49" s="452"/>
      <c r="N49" s="452"/>
      <c r="O49" s="452"/>
      <c r="P49" s="452"/>
      <c r="Q49" s="452"/>
      <c r="R49" s="452"/>
      <c r="S49" s="452"/>
      <c r="T49" s="333"/>
      <c r="U49" s="333"/>
      <c r="V49" s="333"/>
      <c r="W49" s="333"/>
      <c r="X49" s="333"/>
      <c r="Y49" s="333"/>
      <c r="Z49" s="333"/>
      <c r="AA49" s="333"/>
      <c r="AB49" s="333"/>
      <c r="AC49" s="333"/>
      <c r="AD49" s="333"/>
      <c r="AE49" s="333"/>
      <c r="AF49" s="333"/>
      <c r="AG49" s="333"/>
      <c r="AH49" s="333"/>
      <c r="AI49" s="333"/>
      <c r="AJ49" s="333"/>
      <c r="AK49" s="333"/>
      <c r="AL49" s="333"/>
      <c r="AM49" s="333"/>
      <c r="AN49" s="333"/>
      <c r="AO49" s="333"/>
      <c r="AP49" s="333"/>
      <c r="AQ49" s="333"/>
      <c r="AR49" s="333"/>
      <c r="AS49" s="333"/>
      <c r="AT49" s="333"/>
      <c r="AU49" s="333"/>
      <c r="AV49" s="333"/>
      <c r="AW49" s="333"/>
      <c r="AX49" s="333"/>
      <c r="AY49" s="333"/>
      <c r="AZ49" s="333"/>
      <c r="BA49" s="333"/>
      <c r="BB49" s="333"/>
      <c r="BC49" s="333"/>
      <c r="BD49" s="333"/>
      <c r="BE49" s="333"/>
      <c r="BF49" s="333"/>
      <c r="BG49" s="333"/>
      <c r="BH49" s="333"/>
      <c r="BI49" s="333"/>
      <c r="BJ49" s="333"/>
      <c r="BK49" s="333"/>
      <c r="BL49" s="333"/>
      <c r="BM49" s="333"/>
      <c r="BN49" s="333"/>
      <c r="BO49" s="333"/>
      <c r="BP49" s="333"/>
      <c r="BQ49" s="333"/>
      <c r="BR49" s="333"/>
      <c r="BS49" s="333"/>
      <c r="BT49" s="333"/>
      <c r="BU49" s="333"/>
      <c r="BV49" s="333"/>
      <c r="BW49" s="333"/>
      <c r="BX49" s="333"/>
      <c r="BY49" s="333"/>
      <c r="BZ49" s="333"/>
      <c r="CA49" s="333"/>
      <c r="CB49" s="333"/>
      <c r="CC49" s="333"/>
      <c r="CD49" s="333"/>
      <c r="CE49" s="333"/>
      <c r="CF49" s="333"/>
      <c r="CG49" s="333"/>
      <c r="CH49" s="333"/>
      <c r="CI49" s="333"/>
      <c r="CJ49" s="333"/>
      <c r="CK49" s="333"/>
      <c r="CL49" s="333"/>
      <c r="CM49" s="333"/>
      <c r="CN49" s="333"/>
      <c r="CO49" s="333"/>
      <c r="CP49" s="333"/>
      <c r="CQ49" s="333"/>
      <c r="CR49" s="333"/>
      <c r="CS49" s="333"/>
      <c r="CT49" s="333"/>
      <c r="CU49" s="333"/>
      <c r="CV49" s="333"/>
      <c r="CW49" s="333"/>
      <c r="CX49" s="333"/>
      <c r="CY49" s="333"/>
      <c r="CZ49" s="333"/>
      <c r="DA49" s="333"/>
      <c r="DB49" s="333"/>
      <c r="DC49" s="333"/>
      <c r="DD49" s="333"/>
      <c r="DE49" s="333"/>
      <c r="DF49" s="333"/>
      <c r="DG49" s="333"/>
      <c r="DH49" s="333"/>
      <c r="DI49" s="333"/>
      <c r="DJ49" s="333"/>
      <c r="DK49" s="333"/>
      <c r="DL49" s="333"/>
      <c r="DM49" s="333"/>
      <c r="DN49" s="333"/>
      <c r="DO49" s="333"/>
      <c r="DP49" s="333"/>
      <c r="DQ49" s="333"/>
      <c r="DR49" s="333"/>
      <c r="DS49" s="333"/>
      <c r="DT49" s="333"/>
      <c r="DU49" s="333"/>
    </row>
    <row r="50" spans="1:125" s="335" customFormat="1" ht="27" customHeight="1">
      <c r="A50" s="443" t="s">
        <v>618</v>
      </c>
      <c r="B50" s="85"/>
      <c r="C50" s="445">
        <v>997013111</v>
      </c>
      <c r="D50" s="358" t="s">
        <v>187</v>
      </c>
      <c r="E50" s="446" t="s">
        <v>125</v>
      </c>
      <c r="F50" s="447">
        <f>F48</f>
        <v>9.0860000000000003</v>
      </c>
      <c r="G50" s="81"/>
      <c r="H50" s="448">
        <f>F50*G50</f>
        <v>0</v>
      </c>
      <c r="I50" s="449" t="s">
        <v>738</v>
      </c>
      <c r="J50" s="450"/>
      <c r="K50" s="451"/>
      <c r="L50" s="451"/>
      <c r="M50" s="451"/>
      <c r="N50" s="451"/>
      <c r="O50" s="451"/>
      <c r="P50" s="451"/>
      <c r="Q50" s="452"/>
      <c r="R50" s="452"/>
      <c r="S50" s="453"/>
      <c r="T50" s="347"/>
      <c r="U50" s="333"/>
      <c r="V50" s="333"/>
      <c r="W50" s="333"/>
      <c r="X50" s="333"/>
      <c r="Y50" s="333"/>
      <c r="Z50" s="333"/>
      <c r="AA50" s="333"/>
      <c r="AB50" s="333"/>
      <c r="AC50" s="333"/>
      <c r="AD50" s="333"/>
      <c r="AE50" s="333"/>
      <c r="AF50" s="333"/>
      <c r="AG50" s="333"/>
      <c r="AH50" s="333"/>
      <c r="AI50" s="333"/>
      <c r="AJ50" s="333"/>
      <c r="AK50" s="333"/>
      <c r="AL50" s="333"/>
      <c r="AM50" s="333"/>
      <c r="AN50" s="333"/>
      <c r="AO50" s="333"/>
      <c r="AP50" s="333"/>
      <c r="AQ50" s="333"/>
      <c r="AR50" s="333"/>
      <c r="AS50" s="333"/>
      <c r="AT50" s="333"/>
      <c r="AU50" s="333"/>
      <c r="AV50" s="333"/>
      <c r="AW50" s="333"/>
      <c r="AX50" s="333"/>
      <c r="AY50" s="333"/>
      <c r="AZ50" s="333"/>
      <c r="BA50" s="333"/>
      <c r="BB50" s="333"/>
      <c r="BC50" s="333"/>
      <c r="BD50" s="333"/>
      <c r="BE50" s="333"/>
      <c r="BF50" s="333"/>
      <c r="BG50" s="333"/>
      <c r="BH50" s="333"/>
      <c r="BI50" s="333"/>
      <c r="BJ50" s="333"/>
      <c r="BK50" s="333"/>
      <c r="BL50" s="333"/>
      <c r="BM50" s="333"/>
      <c r="BN50" s="333"/>
      <c r="BO50" s="333"/>
      <c r="BP50" s="333"/>
      <c r="BQ50" s="333"/>
      <c r="BR50" s="333"/>
      <c r="BS50" s="333"/>
      <c r="BT50" s="333"/>
      <c r="BU50" s="333"/>
      <c r="BV50" s="333"/>
      <c r="BW50" s="333"/>
      <c r="BX50" s="333"/>
      <c r="BY50" s="333"/>
      <c r="BZ50" s="333"/>
      <c r="CA50" s="333"/>
      <c r="CB50" s="333"/>
      <c r="CC50" s="333"/>
      <c r="CD50" s="333"/>
      <c r="CE50" s="333"/>
      <c r="CF50" s="333"/>
      <c r="CG50" s="333"/>
      <c r="CH50" s="333"/>
      <c r="CI50" s="333"/>
      <c r="CJ50" s="333"/>
      <c r="CK50" s="333"/>
      <c r="CL50" s="333"/>
      <c r="CM50" s="333"/>
      <c r="CN50" s="333"/>
      <c r="CO50" s="333"/>
      <c r="CP50" s="333"/>
      <c r="CQ50" s="333"/>
      <c r="CR50" s="333"/>
      <c r="CS50" s="333"/>
      <c r="CT50" s="333"/>
      <c r="CU50" s="333"/>
      <c r="CV50" s="333"/>
      <c r="CW50" s="333"/>
      <c r="CX50" s="333"/>
      <c r="CY50" s="333"/>
      <c r="CZ50" s="333"/>
      <c r="DA50" s="333"/>
      <c r="DB50" s="333"/>
      <c r="DC50" s="333"/>
      <c r="DD50" s="333"/>
      <c r="DE50" s="333"/>
      <c r="DF50" s="333"/>
      <c r="DG50" s="333"/>
      <c r="DH50" s="333"/>
      <c r="DI50" s="333"/>
      <c r="DJ50" s="333"/>
      <c r="DK50" s="333"/>
      <c r="DL50" s="333"/>
      <c r="DM50" s="333"/>
      <c r="DN50" s="333"/>
      <c r="DO50" s="333"/>
      <c r="DP50" s="333"/>
      <c r="DQ50" s="333"/>
      <c r="DR50" s="333"/>
      <c r="DS50" s="333"/>
      <c r="DT50" s="333"/>
      <c r="DU50" s="333"/>
    </row>
    <row r="51" spans="1:125" s="335" customFormat="1" ht="13.5" customHeight="1">
      <c r="A51" s="443" t="s">
        <v>619</v>
      </c>
      <c r="B51" s="444"/>
      <c r="C51" s="445">
        <v>997006512</v>
      </c>
      <c r="D51" s="358" t="s">
        <v>188</v>
      </c>
      <c r="E51" s="446" t="s">
        <v>125</v>
      </c>
      <c r="F51" s="447">
        <f>F48</f>
        <v>9.0860000000000003</v>
      </c>
      <c r="G51" s="81"/>
      <c r="H51" s="448">
        <f>F51*G51</f>
        <v>0</v>
      </c>
      <c r="I51" s="449" t="s">
        <v>738</v>
      </c>
      <c r="J51" s="450"/>
      <c r="K51" s="451"/>
      <c r="L51" s="451"/>
      <c r="M51" s="451"/>
      <c r="N51" s="451"/>
      <c r="O51" s="451"/>
      <c r="P51" s="451"/>
      <c r="Q51" s="452"/>
      <c r="R51" s="452"/>
      <c r="S51" s="453"/>
      <c r="T51" s="333"/>
      <c r="U51" s="333"/>
      <c r="V51" s="333"/>
      <c r="W51" s="333"/>
      <c r="X51" s="333"/>
      <c r="Y51" s="333"/>
      <c r="Z51" s="333"/>
      <c r="AA51" s="333"/>
      <c r="AB51" s="333"/>
      <c r="AC51" s="333"/>
      <c r="AD51" s="333"/>
      <c r="AE51" s="333"/>
      <c r="AF51" s="333"/>
      <c r="AG51" s="333"/>
      <c r="AH51" s="333"/>
      <c r="AI51" s="333"/>
      <c r="AJ51" s="333"/>
      <c r="AK51" s="333"/>
      <c r="AL51" s="333"/>
      <c r="AM51" s="333"/>
      <c r="AN51" s="333"/>
      <c r="AO51" s="333"/>
      <c r="AP51" s="333"/>
      <c r="AQ51" s="333"/>
      <c r="AR51" s="333"/>
      <c r="AS51" s="333"/>
      <c r="AT51" s="333"/>
      <c r="AU51" s="333"/>
      <c r="AV51" s="333"/>
      <c r="AW51" s="333"/>
      <c r="AX51" s="333"/>
      <c r="AY51" s="333"/>
      <c r="AZ51" s="333"/>
      <c r="BA51" s="333"/>
      <c r="BB51" s="333"/>
      <c r="BC51" s="333"/>
      <c r="BD51" s="333"/>
      <c r="BE51" s="333"/>
      <c r="BF51" s="333"/>
      <c r="BG51" s="333"/>
      <c r="BH51" s="333"/>
      <c r="BI51" s="333"/>
      <c r="BJ51" s="333"/>
      <c r="BK51" s="333"/>
      <c r="BL51" s="333"/>
      <c r="BM51" s="333"/>
      <c r="BN51" s="333"/>
      <c r="BO51" s="333"/>
      <c r="BP51" s="333"/>
      <c r="BQ51" s="333"/>
      <c r="BR51" s="333"/>
      <c r="BS51" s="333"/>
      <c r="BT51" s="333"/>
      <c r="BU51" s="333"/>
      <c r="BV51" s="333"/>
      <c r="BW51" s="333"/>
      <c r="BX51" s="333"/>
      <c r="BY51" s="333"/>
      <c r="BZ51" s="333"/>
      <c r="CA51" s="333"/>
      <c r="CB51" s="333"/>
      <c r="CC51" s="333"/>
      <c r="CD51" s="333"/>
      <c r="CE51" s="333"/>
      <c r="CF51" s="333"/>
      <c r="CG51" s="333"/>
      <c r="CH51" s="333"/>
      <c r="CI51" s="333"/>
      <c r="CJ51" s="333"/>
      <c r="CK51" s="333"/>
      <c r="CL51" s="333"/>
      <c r="CM51" s="333"/>
      <c r="CN51" s="333"/>
      <c r="CO51" s="333"/>
      <c r="CP51" s="333"/>
      <c r="CQ51" s="333"/>
      <c r="CR51" s="333"/>
      <c r="CS51" s="333"/>
      <c r="CT51" s="333"/>
      <c r="CU51" s="333"/>
      <c r="CV51" s="333"/>
      <c r="CW51" s="333"/>
      <c r="CX51" s="333"/>
      <c r="CY51" s="333"/>
      <c r="CZ51" s="333"/>
      <c r="DA51" s="333"/>
      <c r="DB51" s="333"/>
      <c r="DC51" s="333"/>
      <c r="DD51" s="333"/>
      <c r="DE51" s="333"/>
      <c r="DF51" s="333"/>
      <c r="DG51" s="333"/>
      <c r="DH51" s="333"/>
      <c r="DI51" s="333"/>
      <c r="DJ51" s="333"/>
      <c r="DK51" s="333"/>
      <c r="DL51" s="333"/>
      <c r="DM51" s="333"/>
      <c r="DN51" s="333"/>
      <c r="DO51" s="333"/>
      <c r="DP51" s="333"/>
      <c r="DQ51" s="333"/>
      <c r="DR51" s="333"/>
      <c r="DS51" s="333"/>
      <c r="DT51" s="333"/>
      <c r="DU51" s="333"/>
    </row>
    <row r="52" spans="1:125" s="335" customFormat="1" ht="27" customHeight="1">
      <c r="A52" s="443" t="s">
        <v>620</v>
      </c>
      <c r="B52" s="444"/>
      <c r="C52" s="445">
        <v>997006519</v>
      </c>
      <c r="D52" s="358" t="s">
        <v>189</v>
      </c>
      <c r="E52" s="446" t="s">
        <v>125</v>
      </c>
      <c r="F52" s="447">
        <f>F48*5</f>
        <v>45.43</v>
      </c>
      <c r="G52" s="81"/>
      <c r="H52" s="448">
        <f>F52*G52</f>
        <v>0</v>
      </c>
      <c r="I52" s="449" t="s">
        <v>738</v>
      </c>
      <c r="J52" s="450"/>
      <c r="K52" s="451"/>
      <c r="L52" s="451"/>
      <c r="M52" s="451"/>
      <c r="N52" s="451"/>
      <c r="O52" s="451"/>
      <c r="P52" s="451"/>
      <c r="Q52" s="452"/>
      <c r="R52" s="452"/>
      <c r="S52" s="453"/>
      <c r="T52" s="333"/>
      <c r="U52" s="333"/>
      <c r="V52" s="333"/>
      <c r="W52" s="333"/>
      <c r="X52" s="333"/>
      <c r="Y52" s="333"/>
      <c r="Z52" s="333"/>
      <c r="AA52" s="333"/>
      <c r="AB52" s="333"/>
      <c r="AC52" s="333"/>
      <c r="AD52" s="333"/>
      <c r="AE52" s="333"/>
      <c r="AF52" s="333"/>
      <c r="AG52" s="333"/>
      <c r="AH52" s="333"/>
      <c r="AI52" s="333"/>
      <c r="AJ52" s="333"/>
      <c r="AK52" s="333"/>
      <c r="AL52" s="333"/>
      <c r="AM52" s="333"/>
      <c r="AN52" s="333"/>
      <c r="AO52" s="333"/>
      <c r="AP52" s="333"/>
      <c r="AQ52" s="333"/>
      <c r="AR52" s="333"/>
      <c r="AS52" s="333"/>
      <c r="AT52" s="333"/>
      <c r="AU52" s="333"/>
      <c r="AV52" s="333"/>
      <c r="AW52" s="333"/>
      <c r="AX52" s="333"/>
      <c r="AY52" s="333"/>
      <c r="AZ52" s="333"/>
      <c r="BA52" s="333"/>
      <c r="BB52" s="333"/>
      <c r="BC52" s="333"/>
      <c r="BD52" s="333"/>
      <c r="BE52" s="333"/>
      <c r="BF52" s="333"/>
      <c r="BG52" s="333"/>
      <c r="BH52" s="333"/>
      <c r="BI52" s="333"/>
      <c r="BJ52" s="333"/>
      <c r="BK52" s="333"/>
      <c r="BL52" s="333"/>
      <c r="BM52" s="333"/>
      <c r="BN52" s="333"/>
      <c r="BO52" s="333"/>
      <c r="BP52" s="333"/>
      <c r="BQ52" s="333"/>
      <c r="BR52" s="333"/>
      <c r="BS52" s="333"/>
      <c r="BT52" s="333"/>
      <c r="BU52" s="333"/>
      <c r="BV52" s="333"/>
      <c r="BW52" s="333"/>
      <c r="BX52" s="333"/>
      <c r="BY52" s="333"/>
      <c r="BZ52" s="333"/>
      <c r="CA52" s="333"/>
      <c r="CB52" s="333"/>
      <c r="CC52" s="333"/>
      <c r="CD52" s="333"/>
      <c r="CE52" s="333"/>
      <c r="CF52" s="333"/>
      <c r="CG52" s="333"/>
      <c r="CH52" s="333"/>
      <c r="CI52" s="333"/>
      <c r="CJ52" s="333"/>
      <c r="CK52" s="333"/>
      <c r="CL52" s="333"/>
      <c r="CM52" s="333"/>
      <c r="CN52" s="333"/>
      <c r="CO52" s="333"/>
      <c r="CP52" s="333"/>
      <c r="CQ52" s="333"/>
      <c r="CR52" s="333"/>
      <c r="CS52" s="333"/>
      <c r="CT52" s="333"/>
      <c r="CU52" s="333"/>
      <c r="CV52" s="333"/>
      <c r="CW52" s="333"/>
      <c r="CX52" s="333"/>
      <c r="CY52" s="333"/>
      <c r="CZ52" s="333"/>
      <c r="DA52" s="333"/>
      <c r="DB52" s="333"/>
      <c r="DC52" s="333"/>
      <c r="DD52" s="333"/>
      <c r="DE52" s="333"/>
      <c r="DF52" s="333"/>
      <c r="DG52" s="333"/>
      <c r="DH52" s="333"/>
      <c r="DI52" s="333"/>
      <c r="DJ52" s="333"/>
      <c r="DK52" s="333"/>
      <c r="DL52" s="333"/>
      <c r="DM52" s="333"/>
      <c r="DN52" s="333"/>
      <c r="DO52" s="333"/>
      <c r="DP52" s="333"/>
      <c r="DQ52" s="333"/>
      <c r="DR52" s="333"/>
      <c r="DS52" s="333"/>
      <c r="DT52" s="333"/>
      <c r="DU52" s="333"/>
    </row>
    <row r="53" spans="1:125" s="335" customFormat="1" ht="27" customHeight="1">
      <c r="A53" s="443" t="s">
        <v>621</v>
      </c>
      <c r="B53" s="444"/>
      <c r="C53" s="445">
        <v>997013602</v>
      </c>
      <c r="D53" s="358" t="s">
        <v>190</v>
      </c>
      <c r="E53" s="446" t="s">
        <v>125</v>
      </c>
      <c r="F53" s="447">
        <f>F49</f>
        <v>9.0860000000000003</v>
      </c>
      <c r="G53" s="81"/>
      <c r="H53" s="448">
        <f>F53*G53</f>
        <v>0</v>
      </c>
      <c r="I53" s="449" t="s">
        <v>738</v>
      </c>
      <c r="J53" s="450"/>
      <c r="K53" s="451"/>
      <c r="L53" s="451"/>
      <c r="M53" s="451"/>
      <c r="N53" s="451"/>
      <c r="O53" s="451"/>
      <c r="P53" s="451"/>
      <c r="Q53" s="452"/>
      <c r="R53" s="452"/>
      <c r="S53" s="453"/>
      <c r="T53" s="333"/>
      <c r="U53" s="333"/>
      <c r="V53" s="333"/>
      <c r="W53" s="333"/>
      <c r="X53" s="333"/>
      <c r="Y53" s="333"/>
      <c r="Z53" s="333"/>
      <c r="AA53" s="333"/>
      <c r="AB53" s="333"/>
      <c r="AC53" s="333"/>
      <c r="AD53" s="333"/>
      <c r="AE53" s="333"/>
      <c r="AF53" s="333"/>
      <c r="AG53" s="333"/>
      <c r="AH53" s="333"/>
      <c r="AI53" s="333"/>
      <c r="AJ53" s="333"/>
      <c r="AK53" s="333"/>
      <c r="AL53" s="333"/>
      <c r="AM53" s="333"/>
      <c r="AN53" s="333"/>
      <c r="AO53" s="333"/>
      <c r="AP53" s="333"/>
      <c r="AQ53" s="333"/>
      <c r="AR53" s="333"/>
      <c r="AS53" s="333"/>
      <c r="AT53" s="333"/>
      <c r="AU53" s="333"/>
      <c r="AV53" s="333"/>
      <c r="AW53" s="333"/>
      <c r="AX53" s="333"/>
      <c r="AY53" s="333"/>
      <c r="AZ53" s="333"/>
      <c r="BA53" s="333"/>
      <c r="BB53" s="333"/>
      <c r="BC53" s="333"/>
      <c r="BD53" s="333"/>
      <c r="BE53" s="333"/>
      <c r="BF53" s="333"/>
      <c r="BG53" s="333"/>
      <c r="BH53" s="333"/>
      <c r="BI53" s="333"/>
      <c r="BJ53" s="333"/>
      <c r="BK53" s="333"/>
      <c r="BL53" s="333"/>
      <c r="BM53" s="333"/>
      <c r="BN53" s="333"/>
      <c r="BO53" s="333"/>
      <c r="BP53" s="333"/>
      <c r="BQ53" s="333"/>
      <c r="BR53" s="333"/>
      <c r="BS53" s="333"/>
      <c r="BT53" s="333"/>
      <c r="BU53" s="333"/>
      <c r="BV53" s="333"/>
      <c r="BW53" s="333"/>
      <c r="BX53" s="333"/>
      <c r="BY53" s="333"/>
      <c r="BZ53" s="333"/>
      <c r="CA53" s="333"/>
      <c r="CB53" s="333"/>
      <c r="CC53" s="333"/>
      <c r="CD53" s="333"/>
      <c r="CE53" s="333"/>
      <c r="CF53" s="333"/>
      <c r="CG53" s="333"/>
      <c r="CH53" s="333"/>
      <c r="CI53" s="333"/>
      <c r="CJ53" s="333"/>
      <c r="CK53" s="333"/>
      <c r="CL53" s="333"/>
      <c r="CM53" s="333"/>
      <c r="CN53" s="333"/>
      <c r="CO53" s="333"/>
      <c r="CP53" s="333"/>
      <c r="CQ53" s="333"/>
      <c r="CR53" s="333"/>
      <c r="CS53" s="333"/>
      <c r="CT53" s="333"/>
      <c r="CU53" s="333"/>
      <c r="CV53" s="333"/>
      <c r="CW53" s="333"/>
      <c r="CX53" s="333"/>
      <c r="CY53" s="333"/>
      <c r="CZ53" s="333"/>
      <c r="DA53" s="333"/>
      <c r="DB53" s="333"/>
      <c r="DC53" s="333"/>
      <c r="DD53" s="333"/>
      <c r="DE53" s="333"/>
      <c r="DF53" s="333"/>
      <c r="DG53" s="333"/>
      <c r="DH53" s="333"/>
      <c r="DI53" s="333"/>
      <c r="DJ53" s="333"/>
      <c r="DK53" s="333"/>
      <c r="DL53" s="333"/>
      <c r="DM53" s="333"/>
      <c r="DN53" s="333"/>
      <c r="DO53" s="333"/>
      <c r="DP53" s="333"/>
      <c r="DQ53" s="333"/>
      <c r="DR53" s="333"/>
      <c r="DS53" s="333"/>
      <c r="DT53" s="333"/>
      <c r="DU53" s="333"/>
    </row>
    <row r="54" spans="1:125" s="335" customFormat="1" ht="67.5" customHeight="1">
      <c r="A54" s="454"/>
      <c r="B54" s="444"/>
      <c r="C54" s="455"/>
      <c r="D54" s="388" t="s">
        <v>195</v>
      </c>
      <c r="E54" s="456"/>
      <c r="F54" s="447"/>
      <c r="G54" s="457"/>
      <c r="H54" s="437"/>
      <c r="I54" s="458"/>
      <c r="J54" s="465"/>
      <c r="K54" s="333"/>
      <c r="L54" s="466"/>
      <c r="M54" s="466"/>
      <c r="N54" s="466"/>
      <c r="O54" s="333"/>
      <c r="P54" s="333"/>
      <c r="Q54" s="333"/>
      <c r="R54" s="333"/>
      <c r="S54" s="333"/>
      <c r="T54" s="333"/>
      <c r="U54" s="333"/>
      <c r="V54" s="333"/>
      <c r="W54" s="333"/>
      <c r="X54" s="333"/>
      <c r="Y54" s="333"/>
      <c r="Z54" s="333"/>
      <c r="AA54" s="333"/>
      <c r="AB54" s="333"/>
      <c r="AC54" s="333"/>
      <c r="AD54" s="333"/>
      <c r="AE54" s="333"/>
      <c r="AF54" s="333"/>
      <c r="AG54" s="333"/>
      <c r="AH54" s="333"/>
      <c r="AI54" s="333"/>
      <c r="AJ54" s="333"/>
      <c r="AK54" s="333"/>
      <c r="AL54" s="333"/>
      <c r="AM54" s="333"/>
      <c r="AN54" s="333"/>
      <c r="AO54" s="333"/>
      <c r="AP54" s="333"/>
      <c r="AQ54" s="333"/>
      <c r="AR54" s="333"/>
      <c r="AS54" s="333"/>
      <c r="AT54" s="333"/>
      <c r="AU54" s="333"/>
      <c r="AV54" s="333"/>
      <c r="AW54" s="333"/>
      <c r="AX54" s="333"/>
      <c r="AY54" s="333"/>
      <c r="AZ54" s="333"/>
      <c r="BA54" s="333"/>
      <c r="BB54" s="333"/>
      <c r="BC54" s="333"/>
      <c r="BD54" s="333"/>
      <c r="BE54" s="333"/>
      <c r="BF54" s="333"/>
      <c r="BG54" s="333"/>
      <c r="BH54" s="333"/>
      <c r="BI54" s="333"/>
      <c r="BJ54" s="333"/>
      <c r="BK54" s="333"/>
      <c r="BL54" s="333"/>
      <c r="BM54" s="333"/>
      <c r="BN54" s="333"/>
      <c r="BO54" s="333"/>
      <c r="BP54" s="333"/>
      <c r="BQ54" s="333"/>
      <c r="BR54" s="333"/>
      <c r="BS54" s="333"/>
      <c r="BT54" s="333"/>
      <c r="BU54" s="333"/>
      <c r="BV54" s="333"/>
      <c r="BW54" s="333"/>
      <c r="BX54" s="333"/>
      <c r="BY54" s="333"/>
      <c r="BZ54" s="333"/>
      <c r="CA54" s="333"/>
      <c r="CB54" s="333"/>
      <c r="CC54" s="333"/>
      <c r="CD54" s="333"/>
      <c r="CE54" s="333"/>
      <c r="CF54" s="333"/>
      <c r="CG54" s="333"/>
      <c r="CH54" s="333"/>
      <c r="CI54" s="333"/>
      <c r="CJ54" s="333"/>
      <c r="CK54" s="333"/>
      <c r="CL54" s="333"/>
      <c r="CM54" s="333"/>
      <c r="CN54" s="333"/>
      <c r="CO54" s="333"/>
      <c r="CP54" s="333"/>
      <c r="CQ54" s="333"/>
      <c r="CR54" s="333"/>
      <c r="CS54" s="333"/>
      <c r="CT54" s="333"/>
      <c r="CU54" s="333"/>
      <c r="CV54" s="333"/>
      <c r="CW54" s="333"/>
      <c r="CX54" s="333"/>
      <c r="CY54" s="333"/>
      <c r="CZ54" s="333"/>
      <c r="DA54" s="333"/>
      <c r="DB54" s="333"/>
      <c r="DC54" s="333"/>
      <c r="DD54" s="333"/>
      <c r="DE54" s="333"/>
      <c r="DF54" s="333"/>
      <c r="DG54" s="333"/>
      <c r="DH54" s="333"/>
      <c r="DI54" s="333"/>
      <c r="DJ54" s="333"/>
      <c r="DK54" s="333"/>
      <c r="DL54" s="333"/>
      <c r="DM54" s="333"/>
      <c r="DN54" s="333"/>
      <c r="DO54" s="333"/>
      <c r="DP54" s="333"/>
      <c r="DQ54" s="333"/>
      <c r="DR54" s="333"/>
      <c r="DS54" s="333"/>
      <c r="DT54" s="333"/>
      <c r="DU54" s="333"/>
    </row>
    <row r="55" spans="1:125" s="335" customFormat="1" ht="27" customHeight="1">
      <c r="A55" s="434">
        <v>12</v>
      </c>
      <c r="B55" s="424" t="s">
        <v>133</v>
      </c>
      <c r="C55" s="427" t="s">
        <v>209</v>
      </c>
      <c r="D55" s="435" t="s">
        <v>637</v>
      </c>
      <c r="E55" s="435" t="s">
        <v>125</v>
      </c>
      <c r="F55" s="436">
        <f>F56</f>
        <v>24.794</v>
      </c>
      <c r="G55" s="437">
        <f>SUM(H57:H60)/F55</f>
        <v>0</v>
      </c>
      <c r="H55" s="437">
        <f>F55*G55</f>
        <v>0</v>
      </c>
      <c r="I55" s="332" t="s">
        <v>739</v>
      </c>
      <c r="J55" s="459"/>
      <c r="K55" s="452"/>
      <c r="L55" s="452"/>
      <c r="M55" s="452"/>
      <c r="N55" s="452"/>
      <c r="O55" s="452"/>
      <c r="P55" s="452"/>
      <c r="Q55" s="452"/>
      <c r="R55" s="452"/>
      <c r="S55" s="452"/>
      <c r="T55" s="333"/>
      <c r="U55" s="333"/>
      <c r="V55" s="333"/>
      <c r="W55" s="333"/>
      <c r="X55" s="333"/>
      <c r="Y55" s="333"/>
      <c r="Z55" s="333"/>
      <c r="AA55" s="333"/>
      <c r="AB55" s="333"/>
      <c r="AC55" s="333"/>
      <c r="AD55" s="333"/>
      <c r="AE55" s="333"/>
      <c r="AF55" s="333"/>
      <c r="AG55" s="333"/>
      <c r="AH55" s="333"/>
      <c r="AI55" s="333"/>
      <c r="AJ55" s="333"/>
      <c r="AK55" s="333"/>
      <c r="AL55" s="333"/>
      <c r="AM55" s="333"/>
      <c r="AN55" s="333"/>
      <c r="AO55" s="333"/>
      <c r="AP55" s="333"/>
      <c r="AQ55" s="333"/>
      <c r="AR55" s="333"/>
      <c r="AS55" s="333"/>
      <c r="AT55" s="333"/>
      <c r="AU55" s="333"/>
      <c r="AV55" s="333"/>
      <c r="AW55" s="333"/>
      <c r="AX55" s="333"/>
      <c r="AY55" s="333"/>
      <c r="AZ55" s="333"/>
      <c r="BA55" s="333"/>
      <c r="BB55" s="333"/>
      <c r="BC55" s="333"/>
      <c r="BD55" s="333"/>
      <c r="BE55" s="333"/>
      <c r="BF55" s="333"/>
      <c r="BG55" s="333"/>
      <c r="BH55" s="333"/>
      <c r="BI55" s="333"/>
      <c r="BJ55" s="333"/>
      <c r="BK55" s="333"/>
      <c r="BL55" s="333"/>
      <c r="BM55" s="333"/>
      <c r="BN55" s="333"/>
      <c r="BO55" s="333"/>
      <c r="BP55" s="333"/>
      <c r="BQ55" s="333"/>
      <c r="BR55" s="333"/>
      <c r="BS55" s="333"/>
      <c r="BT55" s="333"/>
      <c r="BU55" s="333"/>
      <c r="BV55" s="333"/>
      <c r="BW55" s="333"/>
      <c r="BX55" s="333"/>
      <c r="BY55" s="333"/>
      <c r="BZ55" s="333"/>
      <c r="CA55" s="333"/>
      <c r="CB55" s="333"/>
      <c r="CC55" s="333"/>
      <c r="CD55" s="333"/>
      <c r="CE55" s="333"/>
      <c r="CF55" s="333"/>
      <c r="CG55" s="333"/>
      <c r="CH55" s="333"/>
      <c r="CI55" s="333"/>
      <c r="CJ55" s="333"/>
      <c r="CK55" s="333"/>
      <c r="CL55" s="333"/>
      <c r="CM55" s="333"/>
      <c r="CN55" s="333"/>
      <c r="CO55" s="333"/>
      <c r="CP55" s="333"/>
      <c r="CQ55" s="333"/>
      <c r="CR55" s="333"/>
      <c r="CS55" s="333"/>
      <c r="CT55" s="333"/>
      <c r="CU55" s="333"/>
      <c r="CV55" s="333"/>
      <c r="CW55" s="333"/>
      <c r="CX55" s="333"/>
      <c r="CY55" s="333"/>
      <c r="CZ55" s="333"/>
      <c r="DA55" s="333"/>
      <c r="DB55" s="333"/>
      <c r="DC55" s="333"/>
      <c r="DD55" s="333"/>
      <c r="DE55" s="333"/>
      <c r="DF55" s="333"/>
      <c r="DG55" s="333"/>
      <c r="DH55" s="333"/>
      <c r="DI55" s="333"/>
      <c r="DJ55" s="333"/>
      <c r="DK55" s="333"/>
      <c r="DL55" s="333"/>
      <c r="DM55" s="333"/>
      <c r="DN55" s="333"/>
      <c r="DO55" s="333"/>
      <c r="DP55" s="333"/>
      <c r="DQ55" s="333"/>
      <c r="DR55" s="333"/>
      <c r="DS55" s="333"/>
      <c r="DT55" s="333"/>
      <c r="DU55" s="333"/>
    </row>
    <row r="56" spans="1:125" s="335" customFormat="1" ht="13.5" customHeight="1">
      <c r="A56" s="379"/>
      <c r="B56" s="85"/>
      <c r="C56" s="85"/>
      <c r="D56" s="117" t="s">
        <v>616</v>
      </c>
      <c r="E56" s="439"/>
      <c r="F56" s="337">
        <f>24.794</f>
        <v>24.794</v>
      </c>
      <c r="G56" s="440"/>
      <c r="H56" s="440"/>
      <c r="I56" s="441"/>
      <c r="J56" s="463"/>
      <c r="K56" s="452"/>
      <c r="L56" s="464"/>
      <c r="M56" s="452"/>
      <c r="N56" s="452"/>
      <c r="O56" s="452"/>
      <c r="P56" s="452"/>
      <c r="Q56" s="452"/>
      <c r="R56" s="452"/>
      <c r="S56" s="452"/>
      <c r="T56" s="333"/>
      <c r="U56" s="333"/>
      <c r="V56" s="333"/>
      <c r="W56" s="333"/>
      <c r="X56" s="333"/>
      <c r="Y56" s="333"/>
      <c r="Z56" s="333"/>
      <c r="AA56" s="333"/>
      <c r="AB56" s="333"/>
      <c r="AC56" s="333"/>
      <c r="AD56" s="333"/>
      <c r="AE56" s="333"/>
      <c r="AF56" s="333"/>
      <c r="AG56" s="333"/>
      <c r="AH56" s="333"/>
      <c r="AI56" s="333"/>
      <c r="AJ56" s="333"/>
      <c r="AK56" s="333"/>
      <c r="AL56" s="333"/>
      <c r="AM56" s="333"/>
      <c r="AN56" s="333"/>
      <c r="AO56" s="333"/>
      <c r="AP56" s="333"/>
      <c r="AQ56" s="333"/>
      <c r="AR56" s="333"/>
      <c r="AS56" s="333"/>
      <c r="AT56" s="333"/>
      <c r="AU56" s="333"/>
      <c r="AV56" s="333"/>
      <c r="AW56" s="333"/>
      <c r="AX56" s="333"/>
      <c r="AY56" s="333"/>
      <c r="AZ56" s="333"/>
      <c r="BA56" s="333"/>
      <c r="BB56" s="333"/>
      <c r="BC56" s="333"/>
      <c r="BD56" s="333"/>
      <c r="BE56" s="333"/>
      <c r="BF56" s="333"/>
      <c r="BG56" s="333"/>
      <c r="BH56" s="333"/>
      <c r="BI56" s="333"/>
      <c r="BJ56" s="333"/>
      <c r="BK56" s="333"/>
      <c r="BL56" s="333"/>
      <c r="BM56" s="333"/>
      <c r="BN56" s="333"/>
      <c r="BO56" s="333"/>
      <c r="BP56" s="333"/>
      <c r="BQ56" s="333"/>
      <c r="BR56" s="333"/>
      <c r="BS56" s="333"/>
      <c r="BT56" s="333"/>
      <c r="BU56" s="333"/>
      <c r="BV56" s="333"/>
      <c r="BW56" s="333"/>
      <c r="BX56" s="333"/>
      <c r="BY56" s="333"/>
      <c r="BZ56" s="333"/>
      <c r="CA56" s="333"/>
      <c r="CB56" s="333"/>
      <c r="CC56" s="333"/>
      <c r="CD56" s="333"/>
      <c r="CE56" s="333"/>
      <c r="CF56" s="333"/>
      <c r="CG56" s="333"/>
      <c r="CH56" s="333"/>
      <c r="CI56" s="333"/>
      <c r="CJ56" s="333"/>
      <c r="CK56" s="333"/>
      <c r="CL56" s="333"/>
      <c r="CM56" s="333"/>
      <c r="CN56" s="333"/>
      <c r="CO56" s="333"/>
      <c r="CP56" s="333"/>
      <c r="CQ56" s="333"/>
      <c r="CR56" s="333"/>
      <c r="CS56" s="333"/>
      <c r="CT56" s="333"/>
      <c r="CU56" s="333"/>
      <c r="CV56" s="333"/>
      <c r="CW56" s="333"/>
      <c r="CX56" s="333"/>
      <c r="CY56" s="333"/>
      <c r="CZ56" s="333"/>
      <c r="DA56" s="333"/>
      <c r="DB56" s="333"/>
      <c r="DC56" s="333"/>
      <c r="DD56" s="333"/>
      <c r="DE56" s="333"/>
      <c r="DF56" s="333"/>
      <c r="DG56" s="333"/>
      <c r="DH56" s="333"/>
      <c r="DI56" s="333"/>
      <c r="DJ56" s="333"/>
      <c r="DK56" s="333"/>
      <c r="DL56" s="333"/>
      <c r="DM56" s="333"/>
      <c r="DN56" s="333"/>
      <c r="DO56" s="333"/>
      <c r="DP56" s="333"/>
      <c r="DQ56" s="333"/>
      <c r="DR56" s="333"/>
      <c r="DS56" s="333"/>
      <c r="DT56" s="333"/>
      <c r="DU56" s="333"/>
    </row>
    <row r="57" spans="1:125" s="335" customFormat="1" ht="27" customHeight="1">
      <c r="A57" s="443" t="s">
        <v>622</v>
      </c>
      <c r="B57" s="85"/>
      <c r="C57" s="445">
        <v>997013111</v>
      </c>
      <c r="D57" s="358" t="s">
        <v>187</v>
      </c>
      <c r="E57" s="446" t="s">
        <v>125</v>
      </c>
      <c r="F57" s="447">
        <f>F55</f>
        <v>24.794</v>
      </c>
      <c r="G57" s="81"/>
      <c r="H57" s="448">
        <f>F57*G57</f>
        <v>0</v>
      </c>
      <c r="I57" s="449" t="s">
        <v>738</v>
      </c>
      <c r="J57" s="450"/>
      <c r="K57" s="451"/>
      <c r="L57" s="451"/>
      <c r="M57" s="451"/>
      <c r="N57" s="451"/>
      <c r="O57" s="451"/>
      <c r="P57" s="451"/>
      <c r="Q57" s="452"/>
      <c r="R57" s="452"/>
      <c r="S57" s="453"/>
      <c r="T57" s="347"/>
      <c r="U57" s="333"/>
      <c r="V57" s="333"/>
      <c r="W57" s="333"/>
      <c r="X57" s="333"/>
      <c r="Y57" s="333"/>
      <c r="Z57" s="333"/>
      <c r="AA57" s="333"/>
      <c r="AB57" s="333"/>
      <c r="AC57" s="333"/>
      <c r="AD57" s="333"/>
      <c r="AE57" s="333"/>
      <c r="AF57" s="333"/>
      <c r="AG57" s="333"/>
      <c r="AH57" s="333"/>
      <c r="AI57" s="333"/>
      <c r="AJ57" s="333"/>
      <c r="AK57" s="333"/>
      <c r="AL57" s="333"/>
      <c r="AM57" s="333"/>
      <c r="AN57" s="333"/>
      <c r="AO57" s="333"/>
      <c r="AP57" s="333"/>
      <c r="AQ57" s="333"/>
      <c r="AR57" s="333"/>
      <c r="AS57" s="333"/>
      <c r="AT57" s="333"/>
      <c r="AU57" s="333"/>
      <c r="AV57" s="333"/>
      <c r="AW57" s="333"/>
      <c r="AX57" s="333"/>
      <c r="AY57" s="333"/>
      <c r="AZ57" s="333"/>
      <c r="BA57" s="333"/>
      <c r="BB57" s="333"/>
      <c r="BC57" s="333"/>
      <c r="BD57" s="333"/>
      <c r="BE57" s="333"/>
      <c r="BF57" s="333"/>
      <c r="BG57" s="333"/>
      <c r="BH57" s="333"/>
      <c r="BI57" s="333"/>
      <c r="BJ57" s="333"/>
      <c r="BK57" s="333"/>
      <c r="BL57" s="333"/>
      <c r="BM57" s="333"/>
      <c r="BN57" s="333"/>
      <c r="BO57" s="333"/>
      <c r="BP57" s="333"/>
      <c r="BQ57" s="333"/>
      <c r="BR57" s="333"/>
      <c r="BS57" s="333"/>
      <c r="BT57" s="333"/>
      <c r="BU57" s="333"/>
      <c r="BV57" s="333"/>
      <c r="BW57" s="333"/>
      <c r="BX57" s="333"/>
      <c r="BY57" s="333"/>
      <c r="BZ57" s="333"/>
      <c r="CA57" s="333"/>
      <c r="CB57" s="333"/>
      <c r="CC57" s="333"/>
      <c r="CD57" s="333"/>
      <c r="CE57" s="333"/>
      <c r="CF57" s="333"/>
      <c r="CG57" s="333"/>
      <c r="CH57" s="333"/>
      <c r="CI57" s="333"/>
      <c r="CJ57" s="333"/>
      <c r="CK57" s="333"/>
      <c r="CL57" s="333"/>
      <c r="CM57" s="333"/>
      <c r="CN57" s="333"/>
      <c r="CO57" s="333"/>
      <c r="CP57" s="333"/>
      <c r="CQ57" s="333"/>
      <c r="CR57" s="333"/>
      <c r="CS57" s="333"/>
      <c r="CT57" s="333"/>
      <c r="CU57" s="333"/>
      <c r="CV57" s="333"/>
      <c r="CW57" s="333"/>
      <c r="CX57" s="333"/>
      <c r="CY57" s="333"/>
      <c r="CZ57" s="333"/>
      <c r="DA57" s="333"/>
      <c r="DB57" s="333"/>
      <c r="DC57" s="333"/>
      <c r="DD57" s="333"/>
      <c r="DE57" s="333"/>
      <c r="DF57" s="333"/>
      <c r="DG57" s="333"/>
      <c r="DH57" s="333"/>
      <c r="DI57" s="333"/>
      <c r="DJ57" s="333"/>
      <c r="DK57" s="333"/>
      <c r="DL57" s="333"/>
      <c r="DM57" s="333"/>
      <c r="DN57" s="333"/>
      <c r="DO57" s="333"/>
      <c r="DP57" s="333"/>
      <c r="DQ57" s="333"/>
      <c r="DR57" s="333"/>
      <c r="DS57" s="333"/>
      <c r="DT57" s="333"/>
      <c r="DU57" s="333"/>
    </row>
    <row r="58" spans="1:125" s="335" customFormat="1" ht="13.5" customHeight="1">
      <c r="A58" s="443" t="s">
        <v>623</v>
      </c>
      <c r="B58" s="444"/>
      <c r="C58" s="445">
        <v>997006512</v>
      </c>
      <c r="D58" s="358" t="s">
        <v>188</v>
      </c>
      <c r="E58" s="446" t="s">
        <v>125</v>
      </c>
      <c r="F58" s="447">
        <f>F55</f>
        <v>24.794</v>
      </c>
      <c r="G58" s="81"/>
      <c r="H58" s="448">
        <f>F58*G58</f>
        <v>0</v>
      </c>
      <c r="I58" s="449" t="s">
        <v>738</v>
      </c>
      <c r="J58" s="450"/>
      <c r="K58" s="451"/>
      <c r="L58" s="451"/>
      <c r="M58" s="451"/>
      <c r="N58" s="451"/>
      <c r="O58" s="451"/>
      <c r="P58" s="451"/>
      <c r="Q58" s="452"/>
      <c r="R58" s="452"/>
      <c r="S58" s="453"/>
      <c r="T58" s="333"/>
      <c r="U58" s="333"/>
      <c r="V58" s="333"/>
      <c r="W58" s="333"/>
      <c r="X58" s="333"/>
      <c r="Y58" s="333"/>
      <c r="Z58" s="333"/>
      <c r="AA58" s="333"/>
      <c r="AB58" s="333"/>
      <c r="AC58" s="333"/>
      <c r="AD58" s="333"/>
      <c r="AE58" s="333"/>
      <c r="AF58" s="333"/>
      <c r="AG58" s="333"/>
      <c r="AH58" s="333"/>
      <c r="AI58" s="333"/>
      <c r="AJ58" s="333"/>
      <c r="AK58" s="333"/>
      <c r="AL58" s="333"/>
      <c r="AM58" s="333"/>
      <c r="AN58" s="333"/>
      <c r="AO58" s="333"/>
      <c r="AP58" s="333"/>
      <c r="AQ58" s="333"/>
      <c r="AR58" s="333"/>
      <c r="AS58" s="333"/>
      <c r="AT58" s="333"/>
      <c r="AU58" s="333"/>
      <c r="AV58" s="333"/>
      <c r="AW58" s="333"/>
      <c r="AX58" s="333"/>
      <c r="AY58" s="333"/>
      <c r="AZ58" s="333"/>
      <c r="BA58" s="333"/>
      <c r="BB58" s="333"/>
      <c r="BC58" s="333"/>
      <c r="BD58" s="333"/>
      <c r="BE58" s="333"/>
      <c r="BF58" s="333"/>
      <c r="BG58" s="333"/>
      <c r="BH58" s="333"/>
      <c r="BI58" s="333"/>
      <c r="BJ58" s="333"/>
      <c r="BK58" s="333"/>
      <c r="BL58" s="333"/>
      <c r="BM58" s="333"/>
      <c r="BN58" s="333"/>
      <c r="BO58" s="333"/>
      <c r="BP58" s="333"/>
      <c r="BQ58" s="333"/>
      <c r="BR58" s="333"/>
      <c r="BS58" s="333"/>
      <c r="BT58" s="333"/>
      <c r="BU58" s="333"/>
      <c r="BV58" s="333"/>
      <c r="BW58" s="333"/>
      <c r="BX58" s="333"/>
      <c r="BY58" s="333"/>
      <c r="BZ58" s="333"/>
      <c r="CA58" s="333"/>
      <c r="CB58" s="333"/>
      <c r="CC58" s="333"/>
      <c r="CD58" s="333"/>
      <c r="CE58" s="333"/>
      <c r="CF58" s="333"/>
      <c r="CG58" s="333"/>
      <c r="CH58" s="333"/>
      <c r="CI58" s="333"/>
      <c r="CJ58" s="333"/>
      <c r="CK58" s="333"/>
      <c r="CL58" s="333"/>
      <c r="CM58" s="333"/>
      <c r="CN58" s="333"/>
      <c r="CO58" s="333"/>
      <c r="CP58" s="333"/>
      <c r="CQ58" s="333"/>
      <c r="CR58" s="333"/>
      <c r="CS58" s="333"/>
      <c r="CT58" s="333"/>
      <c r="CU58" s="333"/>
      <c r="CV58" s="333"/>
      <c r="CW58" s="333"/>
      <c r="CX58" s="333"/>
      <c r="CY58" s="333"/>
      <c r="CZ58" s="333"/>
      <c r="DA58" s="333"/>
      <c r="DB58" s="333"/>
      <c r="DC58" s="333"/>
      <c r="DD58" s="333"/>
      <c r="DE58" s="333"/>
      <c r="DF58" s="333"/>
      <c r="DG58" s="333"/>
      <c r="DH58" s="333"/>
      <c r="DI58" s="333"/>
      <c r="DJ58" s="333"/>
      <c r="DK58" s="333"/>
      <c r="DL58" s="333"/>
      <c r="DM58" s="333"/>
      <c r="DN58" s="333"/>
      <c r="DO58" s="333"/>
      <c r="DP58" s="333"/>
      <c r="DQ58" s="333"/>
      <c r="DR58" s="333"/>
      <c r="DS58" s="333"/>
      <c r="DT58" s="333"/>
      <c r="DU58" s="333"/>
    </row>
    <row r="59" spans="1:125" s="335" customFormat="1" ht="27" customHeight="1">
      <c r="A59" s="443" t="s">
        <v>624</v>
      </c>
      <c r="B59" s="444"/>
      <c r="C59" s="445">
        <v>997006519</v>
      </c>
      <c r="D59" s="358" t="s">
        <v>189</v>
      </c>
      <c r="E59" s="446" t="s">
        <v>125</v>
      </c>
      <c r="F59" s="447">
        <f>F55*5</f>
        <v>123.97</v>
      </c>
      <c r="G59" s="81"/>
      <c r="H59" s="448">
        <f>F59*G59</f>
        <v>0</v>
      </c>
      <c r="I59" s="449" t="s">
        <v>738</v>
      </c>
      <c r="J59" s="450"/>
      <c r="K59" s="451"/>
      <c r="L59" s="451"/>
      <c r="M59" s="451"/>
      <c r="N59" s="451"/>
      <c r="O59" s="451"/>
      <c r="P59" s="451"/>
      <c r="Q59" s="452"/>
      <c r="R59" s="452"/>
      <c r="S59" s="453"/>
      <c r="T59" s="333"/>
      <c r="U59" s="333"/>
      <c r="V59" s="333"/>
      <c r="W59" s="333"/>
      <c r="X59" s="333"/>
      <c r="Y59" s="333"/>
      <c r="Z59" s="333"/>
      <c r="AA59" s="333"/>
      <c r="AB59" s="333"/>
      <c r="AC59" s="333"/>
      <c r="AD59" s="333"/>
      <c r="AE59" s="333"/>
      <c r="AF59" s="333"/>
      <c r="AG59" s="333"/>
      <c r="AH59" s="333"/>
      <c r="AI59" s="333"/>
      <c r="AJ59" s="333"/>
      <c r="AK59" s="333"/>
      <c r="AL59" s="333"/>
      <c r="AM59" s="333"/>
      <c r="AN59" s="333"/>
      <c r="AO59" s="333"/>
      <c r="AP59" s="333"/>
      <c r="AQ59" s="333"/>
      <c r="AR59" s="333"/>
      <c r="AS59" s="333"/>
      <c r="AT59" s="333"/>
      <c r="AU59" s="333"/>
      <c r="AV59" s="333"/>
      <c r="AW59" s="333"/>
      <c r="AX59" s="333"/>
      <c r="AY59" s="333"/>
      <c r="AZ59" s="333"/>
      <c r="BA59" s="333"/>
      <c r="BB59" s="333"/>
      <c r="BC59" s="333"/>
      <c r="BD59" s="333"/>
      <c r="BE59" s="333"/>
      <c r="BF59" s="333"/>
      <c r="BG59" s="333"/>
      <c r="BH59" s="333"/>
      <c r="BI59" s="333"/>
      <c r="BJ59" s="333"/>
      <c r="BK59" s="333"/>
      <c r="BL59" s="333"/>
      <c r="BM59" s="333"/>
      <c r="BN59" s="333"/>
      <c r="BO59" s="333"/>
      <c r="BP59" s="333"/>
      <c r="BQ59" s="333"/>
      <c r="BR59" s="333"/>
      <c r="BS59" s="333"/>
      <c r="BT59" s="333"/>
      <c r="BU59" s="333"/>
      <c r="BV59" s="333"/>
      <c r="BW59" s="333"/>
      <c r="BX59" s="333"/>
      <c r="BY59" s="333"/>
      <c r="BZ59" s="333"/>
      <c r="CA59" s="333"/>
      <c r="CB59" s="333"/>
      <c r="CC59" s="333"/>
      <c r="CD59" s="333"/>
      <c r="CE59" s="333"/>
      <c r="CF59" s="333"/>
      <c r="CG59" s="333"/>
      <c r="CH59" s="333"/>
      <c r="CI59" s="333"/>
      <c r="CJ59" s="333"/>
      <c r="CK59" s="333"/>
      <c r="CL59" s="333"/>
      <c r="CM59" s="333"/>
      <c r="CN59" s="333"/>
      <c r="CO59" s="333"/>
      <c r="CP59" s="333"/>
      <c r="CQ59" s="333"/>
      <c r="CR59" s="333"/>
      <c r="CS59" s="333"/>
      <c r="CT59" s="333"/>
      <c r="CU59" s="333"/>
      <c r="CV59" s="333"/>
      <c r="CW59" s="333"/>
      <c r="CX59" s="333"/>
      <c r="CY59" s="333"/>
      <c r="CZ59" s="333"/>
      <c r="DA59" s="333"/>
      <c r="DB59" s="333"/>
      <c r="DC59" s="333"/>
      <c r="DD59" s="333"/>
      <c r="DE59" s="333"/>
      <c r="DF59" s="333"/>
      <c r="DG59" s="333"/>
      <c r="DH59" s="333"/>
      <c r="DI59" s="333"/>
      <c r="DJ59" s="333"/>
      <c r="DK59" s="333"/>
      <c r="DL59" s="333"/>
      <c r="DM59" s="333"/>
      <c r="DN59" s="333"/>
      <c r="DO59" s="333"/>
      <c r="DP59" s="333"/>
      <c r="DQ59" s="333"/>
      <c r="DR59" s="333"/>
      <c r="DS59" s="333"/>
      <c r="DT59" s="333"/>
      <c r="DU59" s="333"/>
    </row>
    <row r="60" spans="1:125" s="335" customFormat="1" ht="27" customHeight="1">
      <c r="A60" s="443" t="s">
        <v>625</v>
      </c>
      <c r="B60" s="444"/>
      <c r="C60" s="445">
        <v>997013631</v>
      </c>
      <c r="D60" s="358" t="s">
        <v>200</v>
      </c>
      <c r="E60" s="446" t="s">
        <v>125</v>
      </c>
      <c r="F60" s="447">
        <f>F57</f>
        <v>24.794</v>
      </c>
      <c r="G60" s="81"/>
      <c r="H60" s="448">
        <f>F60*G60</f>
        <v>0</v>
      </c>
      <c r="I60" s="449" t="s">
        <v>738</v>
      </c>
      <c r="J60" s="990"/>
      <c r="K60" s="451"/>
      <c r="L60" s="451"/>
      <c r="M60" s="451"/>
      <c r="N60" s="451"/>
      <c r="O60" s="451"/>
      <c r="P60" s="451"/>
      <c r="Q60" s="452"/>
      <c r="R60" s="452"/>
      <c r="S60" s="453"/>
      <c r="T60" s="333"/>
      <c r="U60" s="333"/>
      <c r="V60" s="333"/>
      <c r="W60" s="333"/>
      <c r="X60" s="333"/>
      <c r="Y60" s="333"/>
      <c r="Z60" s="333"/>
      <c r="AA60" s="333"/>
      <c r="AB60" s="333"/>
      <c r="AC60" s="333"/>
      <c r="AD60" s="333"/>
      <c r="AE60" s="333"/>
      <c r="AF60" s="333"/>
      <c r="AG60" s="333"/>
      <c r="AH60" s="333"/>
      <c r="AI60" s="333"/>
      <c r="AJ60" s="333"/>
      <c r="AK60" s="333"/>
      <c r="AL60" s="333"/>
      <c r="AM60" s="333"/>
      <c r="AN60" s="333"/>
      <c r="AO60" s="333"/>
      <c r="AP60" s="333"/>
      <c r="AQ60" s="333"/>
      <c r="AR60" s="333"/>
      <c r="AS60" s="333"/>
      <c r="AT60" s="333"/>
      <c r="AU60" s="333"/>
      <c r="AV60" s="333"/>
      <c r="AW60" s="333"/>
      <c r="AX60" s="333"/>
      <c r="AY60" s="333"/>
      <c r="AZ60" s="333"/>
      <c r="BA60" s="333"/>
      <c r="BB60" s="333"/>
      <c r="BC60" s="333"/>
      <c r="BD60" s="333"/>
      <c r="BE60" s="333"/>
      <c r="BF60" s="333"/>
      <c r="BG60" s="333"/>
      <c r="BH60" s="333"/>
      <c r="BI60" s="333"/>
      <c r="BJ60" s="333"/>
      <c r="BK60" s="333"/>
      <c r="BL60" s="333"/>
      <c r="BM60" s="333"/>
      <c r="BN60" s="333"/>
      <c r="BO60" s="333"/>
      <c r="BP60" s="333"/>
      <c r="BQ60" s="333"/>
      <c r="BR60" s="333"/>
      <c r="BS60" s="333"/>
      <c r="BT60" s="333"/>
      <c r="BU60" s="333"/>
      <c r="BV60" s="333"/>
      <c r="BW60" s="333"/>
      <c r="BX60" s="333"/>
      <c r="BY60" s="333"/>
      <c r="BZ60" s="333"/>
      <c r="CA60" s="333"/>
      <c r="CB60" s="333"/>
      <c r="CC60" s="333"/>
      <c r="CD60" s="333"/>
      <c r="CE60" s="333"/>
      <c r="CF60" s="333"/>
      <c r="CG60" s="333"/>
      <c r="CH60" s="333"/>
      <c r="CI60" s="333"/>
      <c r="CJ60" s="333"/>
      <c r="CK60" s="333"/>
      <c r="CL60" s="333"/>
      <c r="CM60" s="333"/>
      <c r="CN60" s="333"/>
      <c r="CO60" s="333"/>
      <c r="CP60" s="333"/>
      <c r="CQ60" s="333"/>
      <c r="CR60" s="333"/>
      <c r="CS60" s="333"/>
      <c r="CT60" s="333"/>
      <c r="CU60" s="333"/>
      <c r="CV60" s="333"/>
      <c r="CW60" s="333"/>
      <c r="CX60" s="333"/>
      <c r="CY60" s="333"/>
      <c r="CZ60" s="333"/>
      <c r="DA60" s="333"/>
      <c r="DB60" s="333"/>
      <c r="DC60" s="333"/>
      <c r="DD60" s="333"/>
      <c r="DE60" s="333"/>
      <c r="DF60" s="333"/>
      <c r="DG60" s="333"/>
      <c r="DH60" s="333"/>
      <c r="DI60" s="333"/>
      <c r="DJ60" s="333"/>
      <c r="DK60" s="333"/>
      <c r="DL60" s="333"/>
      <c r="DM60" s="333"/>
      <c r="DN60" s="333"/>
      <c r="DO60" s="333"/>
      <c r="DP60" s="333"/>
      <c r="DQ60" s="333"/>
      <c r="DR60" s="333"/>
      <c r="DS60" s="333"/>
      <c r="DT60" s="333"/>
      <c r="DU60" s="333"/>
    </row>
    <row r="61" spans="1:125" s="335" customFormat="1" ht="67.5" customHeight="1">
      <c r="A61" s="454"/>
      <c r="B61" s="444"/>
      <c r="C61" s="455"/>
      <c r="D61" s="388" t="s">
        <v>195</v>
      </c>
      <c r="E61" s="456"/>
      <c r="F61" s="447"/>
      <c r="G61" s="457"/>
      <c r="H61" s="437"/>
      <c r="I61" s="458"/>
      <c r="J61" s="991"/>
      <c r="K61" s="333"/>
      <c r="L61" s="992"/>
      <c r="M61" s="466"/>
      <c r="N61" s="466"/>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33"/>
      <c r="AL61" s="333"/>
      <c r="AM61" s="333"/>
      <c r="AN61" s="333"/>
      <c r="AO61" s="333"/>
      <c r="AP61" s="333"/>
      <c r="AQ61" s="333"/>
      <c r="AR61" s="333"/>
      <c r="AS61" s="333"/>
      <c r="AT61" s="333"/>
      <c r="AU61" s="333"/>
      <c r="AV61" s="333"/>
      <c r="AW61" s="333"/>
      <c r="AX61" s="333"/>
      <c r="AY61" s="333"/>
      <c r="AZ61" s="333"/>
      <c r="BA61" s="333"/>
      <c r="BB61" s="333"/>
      <c r="BC61" s="333"/>
      <c r="BD61" s="333"/>
      <c r="BE61" s="333"/>
      <c r="BF61" s="333"/>
      <c r="BG61" s="333"/>
      <c r="BH61" s="333"/>
      <c r="BI61" s="333"/>
      <c r="BJ61" s="333"/>
      <c r="BK61" s="333"/>
      <c r="BL61" s="333"/>
      <c r="BM61" s="333"/>
      <c r="BN61" s="333"/>
      <c r="BO61" s="333"/>
      <c r="BP61" s="333"/>
      <c r="BQ61" s="333"/>
      <c r="BR61" s="333"/>
      <c r="BS61" s="333"/>
      <c r="BT61" s="333"/>
      <c r="BU61" s="333"/>
      <c r="BV61" s="333"/>
      <c r="BW61" s="333"/>
      <c r="BX61" s="333"/>
      <c r="BY61" s="333"/>
      <c r="BZ61" s="333"/>
      <c r="CA61" s="333"/>
      <c r="CB61" s="333"/>
      <c r="CC61" s="333"/>
      <c r="CD61" s="333"/>
      <c r="CE61" s="333"/>
      <c r="CF61" s="333"/>
      <c r="CG61" s="333"/>
      <c r="CH61" s="333"/>
      <c r="CI61" s="333"/>
      <c r="CJ61" s="333"/>
      <c r="CK61" s="333"/>
      <c r="CL61" s="333"/>
      <c r="CM61" s="333"/>
      <c r="CN61" s="333"/>
      <c r="CO61" s="333"/>
      <c r="CP61" s="333"/>
      <c r="CQ61" s="333"/>
      <c r="CR61" s="333"/>
      <c r="CS61" s="333"/>
      <c r="CT61" s="333"/>
      <c r="CU61" s="333"/>
      <c r="CV61" s="333"/>
      <c r="CW61" s="333"/>
      <c r="CX61" s="333"/>
      <c r="CY61" s="333"/>
      <c r="CZ61" s="333"/>
      <c r="DA61" s="333"/>
      <c r="DB61" s="333"/>
      <c r="DC61" s="333"/>
      <c r="DD61" s="333"/>
      <c r="DE61" s="333"/>
      <c r="DF61" s="333"/>
      <c r="DG61" s="333"/>
      <c r="DH61" s="333"/>
      <c r="DI61" s="333"/>
      <c r="DJ61" s="333"/>
      <c r="DK61" s="333"/>
      <c r="DL61" s="333"/>
      <c r="DM61" s="333"/>
      <c r="DN61" s="333"/>
      <c r="DO61" s="333"/>
      <c r="DP61" s="333"/>
      <c r="DQ61" s="333"/>
      <c r="DR61" s="333"/>
      <c r="DS61" s="333"/>
      <c r="DT61" s="333"/>
      <c r="DU61" s="333"/>
    </row>
    <row r="62" spans="1:125" s="335" customFormat="1" ht="27" customHeight="1">
      <c r="A62" s="434">
        <v>13</v>
      </c>
      <c r="B62" s="424" t="s">
        <v>133</v>
      </c>
      <c r="C62" s="427" t="s">
        <v>209</v>
      </c>
      <c r="D62" s="435" t="s">
        <v>732</v>
      </c>
      <c r="E62" s="435" t="s">
        <v>125</v>
      </c>
      <c r="F62" s="436">
        <f>F63</f>
        <v>6.4180000000000001</v>
      </c>
      <c r="G62" s="437">
        <f>SUM(H64:H67)/F62</f>
        <v>0</v>
      </c>
      <c r="H62" s="437">
        <f>F62*G62</f>
        <v>0</v>
      </c>
      <c r="I62" s="332" t="s">
        <v>739</v>
      </c>
      <c r="J62" s="993"/>
      <c r="K62" s="994"/>
      <c r="L62" s="452"/>
      <c r="M62" s="452"/>
      <c r="N62" s="452"/>
      <c r="O62" s="452"/>
      <c r="P62" s="452"/>
      <c r="Q62" s="452"/>
      <c r="R62" s="452"/>
      <c r="S62" s="452"/>
      <c r="T62" s="333"/>
      <c r="U62" s="333"/>
      <c r="V62" s="333"/>
      <c r="W62" s="333"/>
      <c r="X62" s="333"/>
      <c r="Y62" s="333"/>
      <c r="Z62" s="333"/>
      <c r="AA62" s="333"/>
      <c r="AB62" s="333"/>
      <c r="AC62" s="333"/>
      <c r="AD62" s="333"/>
      <c r="AE62" s="333"/>
      <c r="AF62" s="333"/>
      <c r="AG62" s="333"/>
      <c r="AH62" s="333"/>
      <c r="AI62" s="333"/>
      <c r="AJ62" s="333"/>
      <c r="AK62" s="333"/>
      <c r="AL62" s="333"/>
      <c r="AM62" s="333"/>
      <c r="AN62" s="333"/>
      <c r="AO62" s="333"/>
      <c r="AP62" s="333"/>
      <c r="AQ62" s="333"/>
      <c r="AR62" s="333"/>
      <c r="AS62" s="333"/>
      <c r="AT62" s="333"/>
      <c r="AU62" s="333"/>
      <c r="AV62" s="333"/>
      <c r="AW62" s="333"/>
      <c r="AX62" s="333"/>
      <c r="AY62" s="333"/>
      <c r="AZ62" s="333"/>
      <c r="BA62" s="333"/>
      <c r="BB62" s="333"/>
      <c r="BC62" s="333"/>
      <c r="BD62" s="333"/>
      <c r="BE62" s="333"/>
      <c r="BF62" s="333"/>
      <c r="BG62" s="333"/>
      <c r="BH62" s="333"/>
      <c r="BI62" s="333"/>
      <c r="BJ62" s="333"/>
      <c r="BK62" s="333"/>
      <c r="BL62" s="333"/>
      <c r="BM62" s="333"/>
      <c r="BN62" s="333"/>
      <c r="BO62" s="333"/>
      <c r="BP62" s="333"/>
      <c r="BQ62" s="333"/>
      <c r="BR62" s="333"/>
      <c r="BS62" s="333"/>
      <c r="BT62" s="333"/>
      <c r="BU62" s="333"/>
      <c r="BV62" s="333"/>
      <c r="BW62" s="333"/>
      <c r="BX62" s="333"/>
      <c r="BY62" s="333"/>
      <c r="BZ62" s="333"/>
      <c r="CA62" s="333"/>
      <c r="CB62" s="333"/>
      <c r="CC62" s="333"/>
      <c r="CD62" s="333"/>
      <c r="CE62" s="333"/>
      <c r="CF62" s="333"/>
      <c r="CG62" s="333"/>
      <c r="CH62" s="333"/>
      <c r="CI62" s="333"/>
      <c r="CJ62" s="333"/>
      <c r="CK62" s="333"/>
      <c r="CL62" s="333"/>
      <c r="CM62" s="333"/>
      <c r="CN62" s="333"/>
      <c r="CO62" s="333"/>
      <c r="CP62" s="333"/>
      <c r="CQ62" s="333"/>
      <c r="CR62" s="333"/>
      <c r="CS62" s="333"/>
      <c r="CT62" s="333"/>
      <c r="CU62" s="333"/>
      <c r="CV62" s="333"/>
      <c r="CW62" s="333"/>
      <c r="CX62" s="333"/>
      <c r="CY62" s="333"/>
      <c r="CZ62" s="333"/>
      <c r="DA62" s="333"/>
      <c r="DB62" s="333"/>
      <c r="DC62" s="333"/>
      <c r="DD62" s="333"/>
      <c r="DE62" s="333"/>
      <c r="DF62" s="333"/>
      <c r="DG62" s="333"/>
      <c r="DH62" s="333"/>
      <c r="DI62" s="333"/>
      <c r="DJ62" s="333"/>
      <c r="DK62" s="333"/>
      <c r="DL62" s="333"/>
      <c r="DM62" s="333"/>
      <c r="DN62" s="333"/>
      <c r="DO62" s="333"/>
      <c r="DP62" s="333"/>
      <c r="DQ62" s="333"/>
      <c r="DR62" s="333"/>
      <c r="DS62" s="333"/>
      <c r="DT62" s="333"/>
      <c r="DU62" s="333"/>
    </row>
    <row r="63" spans="1:125" s="335" customFormat="1" ht="13.5" customHeight="1">
      <c r="A63" s="379"/>
      <c r="B63" s="85"/>
      <c r="C63" s="85"/>
      <c r="D63" s="117" t="s">
        <v>617</v>
      </c>
      <c r="E63" s="439"/>
      <c r="F63" s="337">
        <f>6.292+0.126</f>
        <v>6.4180000000000001</v>
      </c>
      <c r="G63" s="440"/>
      <c r="H63" s="440"/>
      <c r="I63" s="441"/>
      <c r="J63" s="463"/>
      <c r="K63" s="452"/>
      <c r="L63" s="464"/>
      <c r="M63" s="452"/>
      <c r="N63" s="452"/>
      <c r="O63" s="452"/>
      <c r="P63" s="452"/>
      <c r="Q63" s="452"/>
      <c r="R63" s="452"/>
      <c r="S63" s="452"/>
      <c r="T63" s="333"/>
      <c r="U63" s="333"/>
      <c r="V63" s="333"/>
      <c r="W63" s="333"/>
      <c r="X63" s="333"/>
      <c r="Y63" s="333"/>
      <c r="Z63" s="333"/>
      <c r="AA63" s="333"/>
      <c r="AB63" s="333"/>
      <c r="AC63" s="333"/>
      <c r="AD63" s="333"/>
      <c r="AE63" s="333"/>
      <c r="AF63" s="333"/>
      <c r="AG63" s="333"/>
      <c r="AH63" s="333"/>
      <c r="AI63" s="333"/>
      <c r="AJ63" s="333"/>
      <c r="AK63" s="333"/>
      <c r="AL63" s="333"/>
      <c r="AM63" s="333"/>
      <c r="AN63" s="333"/>
      <c r="AO63" s="333"/>
      <c r="AP63" s="333"/>
      <c r="AQ63" s="333"/>
      <c r="AR63" s="333"/>
      <c r="AS63" s="333"/>
      <c r="AT63" s="333"/>
      <c r="AU63" s="333"/>
      <c r="AV63" s="333"/>
      <c r="AW63" s="333"/>
      <c r="AX63" s="333"/>
      <c r="AY63" s="333"/>
      <c r="AZ63" s="333"/>
      <c r="BA63" s="333"/>
      <c r="BB63" s="333"/>
      <c r="BC63" s="333"/>
      <c r="BD63" s="333"/>
      <c r="BE63" s="333"/>
      <c r="BF63" s="333"/>
      <c r="BG63" s="333"/>
      <c r="BH63" s="333"/>
      <c r="BI63" s="333"/>
      <c r="BJ63" s="333"/>
      <c r="BK63" s="333"/>
      <c r="BL63" s="333"/>
      <c r="BM63" s="333"/>
      <c r="BN63" s="333"/>
      <c r="BO63" s="333"/>
      <c r="BP63" s="333"/>
      <c r="BQ63" s="333"/>
      <c r="BR63" s="333"/>
      <c r="BS63" s="333"/>
      <c r="BT63" s="333"/>
      <c r="BU63" s="333"/>
      <c r="BV63" s="333"/>
      <c r="BW63" s="333"/>
      <c r="BX63" s="333"/>
      <c r="BY63" s="333"/>
      <c r="BZ63" s="333"/>
      <c r="CA63" s="333"/>
      <c r="CB63" s="333"/>
      <c r="CC63" s="333"/>
      <c r="CD63" s="333"/>
      <c r="CE63" s="333"/>
      <c r="CF63" s="333"/>
      <c r="CG63" s="333"/>
      <c r="CH63" s="333"/>
      <c r="CI63" s="333"/>
      <c r="CJ63" s="333"/>
      <c r="CK63" s="333"/>
      <c r="CL63" s="333"/>
      <c r="CM63" s="333"/>
      <c r="CN63" s="333"/>
      <c r="CO63" s="333"/>
      <c r="CP63" s="333"/>
      <c r="CQ63" s="333"/>
      <c r="CR63" s="333"/>
      <c r="CS63" s="333"/>
      <c r="CT63" s="333"/>
      <c r="CU63" s="333"/>
      <c r="CV63" s="333"/>
      <c r="CW63" s="333"/>
      <c r="CX63" s="333"/>
      <c r="CY63" s="333"/>
      <c r="CZ63" s="333"/>
      <c r="DA63" s="333"/>
      <c r="DB63" s="333"/>
      <c r="DC63" s="333"/>
      <c r="DD63" s="333"/>
      <c r="DE63" s="333"/>
      <c r="DF63" s="333"/>
      <c r="DG63" s="333"/>
      <c r="DH63" s="333"/>
      <c r="DI63" s="333"/>
      <c r="DJ63" s="333"/>
      <c r="DK63" s="333"/>
      <c r="DL63" s="333"/>
      <c r="DM63" s="333"/>
      <c r="DN63" s="333"/>
      <c r="DO63" s="333"/>
      <c r="DP63" s="333"/>
      <c r="DQ63" s="333"/>
      <c r="DR63" s="333"/>
      <c r="DS63" s="333"/>
      <c r="DT63" s="333"/>
      <c r="DU63" s="333"/>
    </row>
    <row r="64" spans="1:125" s="335" customFormat="1" ht="27" customHeight="1">
      <c r="A64" s="443" t="s">
        <v>626</v>
      </c>
      <c r="B64" s="85"/>
      <c r="C64" s="445">
        <v>997013111</v>
      </c>
      <c r="D64" s="358" t="s">
        <v>187</v>
      </c>
      <c r="E64" s="446" t="s">
        <v>125</v>
      </c>
      <c r="F64" s="447">
        <f>F62</f>
        <v>6.4180000000000001</v>
      </c>
      <c r="G64" s="81"/>
      <c r="H64" s="448">
        <f>F64*G64</f>
        <v>0</v>
      </c>
      <c r="I64" s="449" t="s">
        <v>738</v>
      </c>
      <c r="J64" s="450"/>
      <c r="K64" s="451"/>
      <c r="L64" s="451"/>
      <c r="M64" s="451"/>
      <c r="N64" s="451"/>
      <c r="O64" s="451"/>
      <c r="P64" s="451"/>
      <c r="Q64" s="452"/>
      <c r="R64" s="452"/>
      <c r="S64" s="453"/>
      <c r="T64" s="347"/>
      <c r="U64" s="333"/>
      <c r="V64" s="333"/>
      <c r="W64" s="333"/>
      <c r="X64" s="333"/>
      <c r="Y64" s="333"/>
      <c r="Z64" s="333"/>
      <c r="AA64" s="333"/>
      <c r="AB64" s="333"/>
      <c r="AC64" s="333"/>
      <c r="AD64" s="333"/>
      <c r="AE64" s="333"/>
      <c r="AF64" s="333"/>
      <c r="AG64" s="333"/>
      <c r="AH64" s="333"/>
      <c r="AI64" s="333"/>
      <c r="AJ64" s="333"/>
      <c r="AK64" s="333"/>
      <c r="AL64" s="333"/>
      <c r="AM64" s="333"/>
      <c r="AN64" s="333"/>
      <c r="AO64" s="333"/>
      <c r="AP64" s="333"/>
      <c r="AQ64" s="333"/>
      <c r="AR64" s="333"/>
      <c r="AS64" s="333"/>
      <c r="AT64" s="333"/>
      <c r="AU64" s="333"/>
      <c r="AV64" s="333"/>
      <c r="AW64" s="333"/>
      <c r="AX64" s="333"/>
      <c r="AY64" s="333"/>
      <c r="AZ64" s="333"/>
      <c r="BA64" s="333"/>
      <c r="BB64" s="333"/>
      <c r="BC64" s="333"/>
      <c r="BD64" s="333"/>
      <c r="BE64" s="333"/>
      <c r="BF64" s="333"/>
      <c r="BG64" s="333"/>
      <c r="BH64" s="333"/>
      <c r="BI64" s="333"/>
      <c r="BJ64" s="333"/>
      <c r="BK64" s="333"/>
      <c r="BL64" s="333"/>
      <c r="BM64" s="333"/>
      <c r="BN64" s="333"/>
      <c r="BO64" s="333"/>
      <c r="BP64" s="333"/>
      <c r="BQ64" s="333"/>
      <c r="BR64" s="333"/>
      <c r="BS64" s="333"/>
      <c r="BT64" s="333"/>
      <c r="BU64" s="333"/>
      <c r="BV64" s="333"/>
      <c r="BW64" s="333"/>
      <c r="BX64" s="333"/>
      <c r="BY64" s="333"/>
      <c r="BZ64" s="333"/>
      <c r="CA64" s="333"/>
      <c r="CB64" s="333"/>
      <c r="CC64" s="333"/>
      <c r="CD64" s="333"/>
      <c r="CE64" s="333"/>
      <c r="CF64" s="333"/>
      <c r="CG64" s="333"/>
      <c r="CH64" s="333"/>
      <c r="CI64" s="333"/>
      <c r="CJ64" s="333"/>
      <c r="CK64" s="333"/>
      <c r="CL64" s="333"/>
      <c r="CM64" s="333"/>
      <c r="CN64" s="333"/>
      <c r="CO64" s="333"/>
      <c r="CP64" s="333"/>
      <c r="CQ64" s="333"/>
      <c r="CR64" s="333"/>
      <c r="CS64" s="333"/>
      <c r="CT64" s="333"/>
      <c r="CU64" s="333"/>
      <c r="CV64" s="333"/>
      <c r="CW64" s="333"/>
      <c r="CX64" s="333"/>
      <c r="CY64" s="333"/>
      <c r="CZ64" s="333"/>
      <c r="DA64" s="333"/>
      <c r="DB64" s="333"/>
      <c r="DC64" s="333"/>
      <c r="DD64" s="333"/>
      <c r="DE64" s="333"/>
      <c r="DF64" s="333"/>
      <c r="DG64" s="333"/>
      <c r="DH64" s="333"/>
      <c r="DI64" s="333"/>
      <c r="DJ64" s="333"/>
      <c r="DK64" s="333"/>
      <c r="DL64" s="333"/>
      <c r="DM64" s="333"/>
      <c r="DN64" s="333"/>
      <c r="DO64" s="333"/>
      <c r="DP64" s="333"/>
      <c r="DQ64" s="333"/>
      <c r="DR64" s="333"/>
      <c r="DS64" s="333"/>
      <c r="DT64" s="333"/>
      <c r="DU64" s="333"/>
    </row>
    <row r="65" spans="1:125" s="335" customFormat="1" ht="13.5" customHeight="1">
      <c r="A65" s="443" t="s">
        <v>627</v>
      </c>
      <c r="B65" s="444"/>
      <c r="C65" s="445">
        <v>997006512</v>
      </c>
      <c r="D65" s="358" t="s">
        <v>188</v>
      </c>
      <c r="E65" s="446" t="s">
        <v>125</v>
      </c>
      <c r="F65" s="447">
        <f>F62</f>
        <v>6.4180000000000001</v>
      </c>
      <c r="G65" s="81"/>
      <c r="H65" s="448">
        <f>F65*G65</f>
        <v>0</v>
      </c>
      <c r="I65" s="449" t="s">
        <v>738</v>
      </c>
      <c r="J65" s="450"/>
      <c r="K65" s="451"/>
      <c r="L65" s="451"/>
      <c r="M65" s="451"/>
      <c r="N65" s="451"/>
      <c r="O65" s="451"/>
      <c r="P65" s="451"/>
      <c r="Q65" s="452"/>
      <c r="R65" s="452"/>
      <c r="S65" s="453"/>
      <c r="T65" s="333"/>
      <c r="U65" s="333"/>
      <c r="V65" s="333"/>
      <c r="W65" s="333"/>
      <c r="X65" s="333"/>
      <c r="Y65" s="333"/>
      <c r="Z65" s="333"/>
      <c r="AA65" s="333"/>
      <c r="AB65" s="333"/>
      <c r="AC65" s="333"/>
      <c r="AD65" s="333"/>
      <c r="AE65" s="333"/>
      <c r="AF65" s="333"/>
      <c r="AG65" s="333"/>
      <c r="AH65" s="333"/>
      <c r="AI65" s="333"/>
      <c r="AJ65" s="333"/>
      <c r="AK65" s="333"/>
      <c r="AL65" s="333"/>
      <c r="AM65" s="333"/>
      <c r="AN65" s="333"/>
      <c r="AO65" s="333"/>
      <c r="AP65" s="333"/>
      <c r="AQ65" s="333"/>
      <c r="AR65" s="333"/>
      <c r="AS65" s="333"/>
      <c r="AT65" s="333"/>
      <c r="AU65" s="333"/>
      <c r="AV65" s="333"/>
      <c r="AW65" s="333"/>
      <c r="AX65" s="333"/>
      <c r="AY65" s="333"/>
      <c r="AZ65" s="333"/>
      <c r="BA65" s="333"/>
      <c r="BB65" s="333"/>
      <c r="BC65" s="333"/>
      <c r="BD65" s="333"/>
      <c r="BE65" s="333"/>
      <c r="BF65" s="333"/>
      <c r="BG65" s="333"/>
      <c r="BH65" s="333"/>
      <c r="BI65" s="333"/>
      <c r="BJ65" s="333"/>
      <c r="BK65" s="333"/>
      <c r="BL65" s="333"/>
      <c r="BM65" s="333"/>
      <c r="BN65" s="333"/>
      <c r="BO65" s="333"/>
      <c r="BP65" s="333"/>
      <c r="BQ65" s="333"/>
      <c r="BR65" s="333"/>
      <c r="BS65" s="333"/>
      <c r="BT65" s="333"/>
      <c r="BU65" s="333"/>
      <c r="BV65" s="333"/>
      <c r="BW65" s="333"/>
      <c r="BX65" s="333"/>
      <c r="BY65" s="333"/>
      <c r="BZ65" s="333"/>
      <c r="CA65" s="333"/>
      <c r="CB65" s="333"/>
      <c r="CC65" s="333"/>
      <c r="CD65" s="333"/>
      <c r="CE65" s="333"/>
      <c r="CF65" s="333"/>
      <c r="CG65" s="333"/>
      <c r="CH65" s="333"/>
      <c r="CI65" s="333"/>
      <c r="CJ65" s="333"/>
      <c r="CK65" s="333"/>
      <c r="CL65" s="333"/>
      <c r="CM65" s="333"/>
      <c r="CN65" s="333"/>
      <c r="CO65" s="333"/>
      <c r="CP65" s="333"/>
      <c r="CQ65" s="333"/>
      <c r="CR65" s="333"/>
      <c r="CS65" s="333"/>
      <c r="CT65" s="333"/>
      <c r="CU65" s="333"/>
      <c r="CV65" s="333"/>
      <c r="CW65" s="333"/>
      <c r="CX65" s="333"/>
      <c r="CY65" s="333"/>
      <c r="CZ65" s="333"/>
      <c r="DA65" s="333"/>
      <c r="DB65" s="333"/>
      <c r="DC65" s="333"/>
      <c r="DD65" s="333"/>
      <c r="DE65" s="333"/>
      <c r="DF65" s="333"/>
      <c r="DG65" s="333"/>
      <c r="DH65" s="333"/>
      <c r="DI65" s="333"/>
      <c r="DJ65" s="333"/>
      <c r="DK65" s="333"/>
      <c r="DL65" s="333"/>
      <c r="DM65" s="333"/>
      <c r="DN65" s="333"/>
      <c r="DO65" s="333"/>
      <c r="DP65" s="333"/>
      <c r="DQ65" s="333"/>
      <c r="DR65" s="333"/>
      <c r="DS65" s="333"/>
      <c r="DT65" s="333"/>
      <c r="DU65" s="333"/>
    </row>
    <row r="66" spans="1:125" s="335" customFormat="1" ht="27" customHeight="1">
      <c r="A66" s="443" t="s">
        <v>628</v>
      </c>
      <c r="B66" s="444"/>
      <c r="C66" s="445">
        <v>997006519</v>
      </c>
      <c r="D66" s="358" t="s">
        <v>733</v>
      </c>
      <c r="E66" s="446" t="s">
        <v>125</v>
      </c>
      <c r="F66" s="447">
        <f>F62*29</f>
        <v>186.12200000000001</v>
      </c>
      <c r="G66" s="81"/>
      <c r="H66" s="448">
        <f>F66*G66</f>
        <v>0</v>
      </c>
      <c r="I66" s="449" t="s">
        <v>738</v>
      </c>
      <c r="J66" s="450"/>
      <c r="K66" s="451"/>
      <c r="L66" s="451"/>
      <c r="M66" s="451"/>
      <c r="N66" s="451"/>
      <c r="O66" s="451"/>
      <c r="P66" s="451"/>
      <c r="Q66" s="452"/>
      <c r="R66" s="452"/>
      <c r="S66" s="453"/>
      <c r="T66" s="333"/>
      <c r="U66" s="333"/>
      <c r="V66" s="333"/>
      <c r="W66" s="333"/>
      <c r="X66" s="333"/>
      <c r="Y66" s="333"/>
      <c r="Z66" s="333"/>
      <c r="AA66" s="333"/>
      <c r="AB66" s="333"/>
      <c r="AC66" s="333"/>
      <c r="AD66" s="333"/>
      <c r="AE66" s="333"/>
      <c r="AF66" s="333"/>
      <c r="AG66" s="333"/>
      <c r="AH66" s="333"/>
      <c r="AI66" s="333"/>
      <c r="AJ66" s="333"/>
      <c r="AK66" s="333"/>
      <c r="AL66" s="333"/>
      <c r="AM66" s="333"/>
      <c r="AN66" s="333"/>
      <c r="AO66" s="333"/>
      <c r="AP66" s="333"/>
      <c r="AQ66" s="333"/>
      <c r="AR66" s="333"/>
      <c r="AS66" s="333"/>
      <c r="AT66" s="333"/>
      <c r="AU66" s="333"/>
      <c r="AV66" s="333"/>
      <c r="AW66" s="333"/>
      <c r="AX66" s="333"/>
      <c r="AY66" s="333"/>
      <c r="AZ66" s="333"/>
      <c r="BA66" s="333"/>
      <c r="BB66" s="333"/>
      <c r="BC66" s="333"/>
      <c r="BD66" s="333"/>
      <c r="BE66" s="333"/>
      <c r="BF66" s="333"/>
      <c r="BG66" s="333"/>
      <c r="BH66" s="333"/>
      <c r="BI66" s="333"/>
      <c r="BJ66" s="333"/>
      <c r="BK66" s="333"/>
      <c r="BL66" s="333"/>
      <c r="BM66" s="333"/>
      <c r="BN66" s="333"/>
      <c r="BO66" s="333"/>
      <c r="BP66" s="333"/>
      <c r="BQ66" s="333"/>
      <c r="BR66" s="333"/>
      <c r="BS66" s="333"/>
      <c r="BT66" s="333"/>
      <c r="BU66" s="333"/>
      <c r="BV66" s="333"/>
      <c r="BW66" s="333"/>
      <c r="BX66" s="333"/>
      <c r="BY66" s="333"/>
      <c r="BZ66" s="333"/>
      <c r="CA66" s="333"/>
      <c r="CB66" s="333"/>
      <c r="CC66" s="333"/>
      <c r="CD66" s="333"/>
      <c r="CE66" s="333"/>
      <c r="CF66" s="333"/>
      <c r="CG66" s="333"/>
      <c r="CH66" s="333"/>
      <c r="CI66" s="333"/>
      <c r="CJ66" s="333"/>
      <c r="CK66" s="333"/>
      <c r="CL66" s="333"/>
      <c r="CM66" s="333"/>
      <c r="CN66" s="333"/>
      <c r="CO66" s="333"/>
      <c r="CP66" s="333"/>
      <c r="CQ66" s="333"/>
      <c r="CR66" s="333"/>
      <c r="CS66" s="333"/>
      <c r="CT66" s="333"/>
      <c r="CU66" s="333"/>
      <c r="CV66" s="333"/>
      <c r="CW66" s="333"/>
      <c r="CX66" s="333"/>
      <c r="CY66" s="333"/>
      <c r="CZ66" s="333"/>
      <c r="DA66" s="333"/>
      <c r="DB66" s="333"/>
      <c r="DC66" s="333"/>
      <c r="DD66" s="333"/>
      <c r="DE66" s="333"/>
      <c r="DF66" s="333"/>
      <c r="DG66" s="333"/>
      <c r="DH66" s="333"/>
      <c r="DI66" s="333"/>
      <c r="DJ66" s="333"/>
      <c r="DK66" s="333"/>
      <c r="DL66" s="333"/>
      <c r="DM66" s="333"/>
      <c r="DN66" s="333"/>
      <c r="DO66" s="333"/>
      <c r="DP66" s="333"/>
      <c r="DQ66" s="333"/>
      <c r="DR66" s="333"/>
      <c r="DS66" s="333"/>
      <c r="DT66" s="333"/>
      <c r="DU66" s="333"/>
    </row>
    <row r="67" spans="1:125" s="335" customFormat="1" ht="40.5" customHeight="1">
      <c r="A67" s="443" t="s">
        <v>629</v>
      </c>
      <c r="B67" s="444"/>
      <c r="C67" s="445" t="s">
        <v>734</v>
      </c>
      <c r="D67" s="358" t="s">
        <v>614</v>
      </c>
      <c r="E67" s="446" t="s">
        <v>125</v>
      </c>
      <c r="F67" s="447">
        <f>F64</f>
        <v>6.4180000000000001</v>
      </c>
      <c r="G67" s="81"/>
      <c r="H67" s="448">
        <f>F67*G67</f>
        <v>0</v>
      </c>
      <c r="I67" s="449" t="s">
        <v>740</v>
      </c>
      <c r="J67" s="990"/>
      <c r="K67" s="995"/>
      <c r="L67" s="451"/>
      <c r="M67" s="451"/>
      <c r="N67" s="451"/>
      <c r="O67" s="451"/>
      <c r="P67" s="451"/>
      <c r="Q67" s="452"/>
      <c r="R67" s="452"/>
      <c r="S67" s="453"/>
      <c r="T67" s="333"/>
      <c r="U67" s="333"/>
      <c r="V67" s="333"/>
      <c r="W67" s="333"/>
      <c r="X67" s="333"/>
      <c r="Y67" s="333"/>
      <c r="Z67" s="333"/>
      <c r="AA67" s="333"/>
      <c r="AB67" s="333"/>
      <c r="AC67" s="333"/>
      <c r="AD67" s="333"/>
      <c r="AE67" s="333"/>
      <c r="AF67" s="333"/>
      <c r="AG67" s="333"/>
      <c r="AH67" s="333"/>
      <c r="AI67" s="333"/>
      <c r="AJ67" s="333"/>
      <c r="AK67" s="333"/>
      <c r="AL67" s="333"/>
      <c r="AM67" s="333"/>
      <c r="AN67" s="333"/>
      <c r="AO67" s="333"/>
      <c r="AP67" s="333"/>
      <c r="AQ67" s="333"/>
      <c r="AR67" s="333"/>
      <c r="AS67" s="333"/>
      <c r="AT67" s="333"/>
      <c r="AU67" s="333"/>
      <c r="AV67" s="333"/>
      <c r="AW67" s="333"/>
      <c r="AX67" s="333"/>
      <c r="AY67" s="333"/>
      <c r="AZ67" s="333"/>
      <c r="BA67" s="333"/>
      <c r="BB67" s="333"/>
      <c r="BC67" s="333"/>
      <c r="BD67" s="333"/>
      <c r="BE67" s="333"/>
      <c r="BF67" s="333"/>
      <c r="BG67" s="333"/>
      <c r="BH67" s="333"/>
      <c r="BI67" s="333"/>
      <c r="BJ67" s="333"/>
      <c r="BK67" s="333"/>
      <c r="BL67" s="333"/>
      <c r="BM67" s="333"/>
      <c r="BN67" s="333"/>
      <c r="BO67" s="333"/>
      <c r="BP67" s="333"/>
      <c r="BQ67" s="333"/>
      <c r="BR67" s="333"/>
      <c r="BS67" s="333"/>
      <c r="BT67" s="333"/>
      <c r="BU67" s="333"/>
      <c r="BV67" s="333"/>
      <c r="BW67" s="333"/>
      <c r="BX67" s="333"/>
      <c r="BY67" s="333"/>
      <c r="BZ67" s="333"/>
      <c r="CA67" s="333"/>
      <c r="CB67" s="333"/>
      <c r="CC67" s="333"/>
      <c r="CD67" s="333"/>
      <c r="CE67" s="333"/>
      <c r="CF67" s="333"/>
      <c r="CG67" s="333"/>
      <c r="CH67" s="333"/>
      <c r="CI67" s="333"/>
      <c r="CJ67" s="333"/>
      <c r="CK67" s="333"/>
      <c r="CL67" s="333"/>
      <c r="CM67" s="333"/>
      <c r="CN67" s="333"/>
      <c r="CO67" s="333"/>
      <c r="CP67" s="333"/>
      <c r="CQ67" s="333"/>
      <c r="CR67" s="333"/>
      <c r="CS67" s="333"/>
      <c r="CT67" s="333"/>
      <c r="CU67" s="333"/>
      <c r="CV67" s="333"/>
      <c r="CW67" s="333"/>
      <c r="CX67" s="333"/>
      <c r="CY67" s="333"/>
      <c r="CZ67" s="333"/>
      <c r="DA67" s="333"/>
      <c r="DB67" s="333"/>
      <c r="DC67" s="333"/>
      <c r="DD67" s="333"/>
      <c r="DE67" s="333"/>
      <c r="DF67" s="333"/>
      <c r="DG67" s="333"/>
      <c r="DH67" s="333"/>
      <c r="DI67" s="333"/>
      <c r="DJ67" s="333"/>
      <c r="DK67" s="333"/>
      <c r="DL67" s="333"/>
      <c r="DM67" s="333"/>
      <c r="DN67" s="333"/>
      <c r="DO67" s="333"/>
      <c r="DP67" s="333"/>
      <c r="DQ67" s="333"/>
      <c r="DR67" s="333"/>
      <c r="DS67" s="333"/>
      <c r="DT67" s="333"/>
      <c r="DU67" s="333"/>
    </row>
    <row r="68" spans="1:125" s="335" customFormat="1" ht="67.5" customHeight="1">
      <c r="A68" s="454"/>
      <c r="B68" s="444"/>
      <c r="C68" s="455"/>
      <c r="D68" s="388" t="s">
        <v>195</v>
      </c>
      <c r="E68" s="456"/>
      <c r="F68" s="447"/>
      <c r="G68" s="996"/>
      <c r="H68" s="437"/>
      <c r="I68" s="458"/>
      <c r="J68" s="991"/>
      <c r="K68" s="333"/>
      <c r="L68" s="466"/>
      <c r="M68" s="466"/>
      <c r="N68" s="466"/>
      <c r="O68" s="333"/>
      <c r="P68" s="333"/>
      <c r="Q68" s="333"/>
      <c r="R68" s="333"/>
      <c r="S68" s="333"/>
      <c r="T68" s="333"/>
      <c r="U68" s="333"/>
      <c r="V68" s="333"/>
      <c r="W68" s="333"/>
      <c r="X68" s="333"/>
      <c r="Y68" s="333"/>
      <c r="Z68" s="333"/>
      <c r="AA68" s="333"/>
      <c r="AB68" s="333"/>
      <c r="AC68" s="333"/>
      <c r="AD68" s="333"/>
      <c r="AE68" s="333"/>
      <c r="AF68" s="333"/>
      <c r="AG68" s="333"/>
      <c r="AH68" s="333"/>
      <c r="AI68" s="333"/>
      <c r="AJ68" s="333"/>
      <c r="AK68" s="333"/>
      <c r="AL68" s="333"/>
      <c r="AM68" s="333"/>
      <c r="AN68" s="333"/>
      <c r="AO68" s="333"/>
      <c r="AP68" s="333"/>
      <c r="AQ68" s="333"/>
      <c r="AR68" s="333"/>
      <c r="AS68" s="333"/>
      <c r="AT68" s="333"/>
      <c r="AU68" s="333"/>
      <c r="AV68" s="333"/>
      <c r="AW68" s="333"/>
      <c r="AX68" s="333"/>
      <c r="AY68" s="333"/>
      <c r="AZ68" s="333"/>
      <c r="BA68" s="333"/>
      <c r="BB68" s="333"/>
      <c r="BC68" s="333"/>
      <c r="BD68" s="333"/>
      <c r="BE68" s="333"/>
      <c r="BF68" s="333"/>
      <c r="BG68" s="333"/>
      <c r="BH68" s="333"/>
      <c r="BI68" s="333"/>
      <c r="BJ68" s="333"/>
      <c r="BK68" s="333"/>
      <c r="BL68" s="333"/>
      <c r="BM68" s="333"/>
      <c r="BN68" s="333"/>
      <c r="BO68" s="333"/>
      <c r="BP68" s="333"/>
      <c r="BQ68" s="333"/>
      <c r="BR68" s="333"/>
      <c r="BS68" s="333"/>
      <c r="BT68" s="333"/>
      <c r="BU68" s="333"/>
      <c r="BV68" s="333"/>
      <c r="BW68" s="333"/>
      <c r="BX68" s="333"/>
      <c r="BY68" s="333"/>
      <c r="BZ68" s="333"/>
      <c r="CA68" s="333"/>
      <c r="CB68" s="333"/>
      <c r="CC68" s="333"/>
      <c r="CD68" s="333"/>
      <c r="CE68" s="333"/>
      <c r="CF68" s="333"/>
      <c r="CG68" s="333"/>
      <c r="CH68" s="333"/>
      <c r="CI68" s="333"/>
      <c r="CJ68" s="333"/>
      <c r="CK68" s="333"/>
      <c r="CL68" s="333"/>
      <c r="CM68" s="333"/>
      <c r="CN68" s="333"/>
      <c r="CO68" s="333"/>
      <c r="CP68" s="333"/>
      <c r="CQ68" s="333"/>
      <c r="CR68" s="333"/>
      <c r="CS68" s="333"/>
      <c r="CT68" s="333"/>
      <c r="CU68" s="333"/>
      <c r="CV68" s="333"/>
      <c r="CW68" s="333"/>
      <c r="CX68" s="333"/>
      <c r="CY68" s="333"/>
      <c r="CZ68" s="333"/>
      <c r="DA68" s="333"/>
      <c r="DB68" s="333"/>
      <c r="DC68" s="333"/>
      <c r="DD68" s="333"/>
      <c r="DE68" s="333"/>
      <c r="DF68" s="333"/>
      <c r="DG68" s="333"/>
      <c r="DH68" s="333"/>
      <c r="DI68" s="333"/>
      <c r="DJ68" s="333"/>
      <c r="DK68" s="333"/>
      <c r="DL68" s="333"/>
      <c r="DM68" s="333"/>
      <c r="DN68" s="333"/>
      <c r="DO68" s="333"/>
      <c r="DP68" s="333"/>
      <c r="DQ68" s="333"/>
      <c r="DR68" s="333"/>
      <c r="DS68" s="333"/>
      <c r="DT68" s="333"/>
      <c r="DU68" s="333"/>
    </row>
    <row r="69" spans="1:125" s="314" customFormat="1" ht="13.5" customHeight="1">
      <c r="A69" s="467"/>
      <c r="B69" s="468"/>
      <c r="C69" s="468" t="s">
        <v>145</v>
      </c>
      <c r="D69" s="468" t="s">
        <v>146</v>
      </c>
      <c r="E69" s="468"/>
      <c r="F69" s="325"/>
      <c r="G69" s="326"/>
      <c r="H69" s="470">
        <f>SUM(H70:H72)</f>
        <v>0</v>
      </c>
      <c r="I69" s="471"/>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3"/>
      <c r="AL69" s="313"/>
      <c r="AM69" s="313"/>
      <c r="AN69" s="313"/>
      <c r="AO69" s="313"/>
      <c r="AP69" s="313"/>
      <c r="AQ69" s="313"/>
      <c r="AR69" s="313"/>
      <c r="AS69" s="313"/>
      <c r="AT69" s="313"/>
    </row>
    <row r="70" spans="1:125" s="314" customFormat="1" ht="27" customHeight="1">
      <c r="A70" s="352">
        <v>14</v>
      </c>
      <c r="B70" s="354">
        <v>221</v>
      </c>
      <c r="C70" s="354">
        <v>998225111</v>
      </c>
      <c r="D70" s="354" t="s">
        <v>184</v>
      </c>
      <c r="E70" s="354" t="s">
        <v>125</v>
      </c>
      <c r="F70" s="355">
        <v>31.69</v>
      </c>
      <c r="G70" s="503"/>
      <c r="H70" s="356">
        <f>F70*G70</f>
        <v>0</v>
      </c>
      <c r="I70" s="360" t="s">
        <v>738</v>
      </c>
      <c r="J70" s="472"/>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3"/>
      <c r="AL70" s="313"/>
      <c r="AM70" s="313"/>
      <c r="AN70" s="313"/>
      <c r="AO70" s="313"/>
      <c r="AP70" s="313"/>
      <c r="AQ70" s="313"/>
      <c r="AR70" s="313"/>
      <c r="AS70" s="313"/>
      <c r="AT70" s="313"/>
    </row>
    <row r="71" spans="1:125" s="314" customFormat="1" ht="13.5" customHeight="1">
      <c r="A71" s="352">
        <v>15</v>
      </c>
      <c r="B71" s="354" t="s">
        <v>148</v>
      </c>
      <c r="C71" s="354" t="s">
        <v>149</v>
      </c>
      <c r="D71" s="354" t="s">
        <v>150</v>
      </c>
      <c r="E71" s="354" t="s">
        <v>151</v>
      </c>
      <c r="F71" s="355">
        <f>F72</f>
        <v>15</v>
      </c>
      <c r="G71" s="503"/>
      <c r="H71" s="356">
        <f>F71*G71</f>
        <v>0</v>
      </c>
      <c r="I71" s="360" t="s">
        <v>738</v>
      </c>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3"/>
      <c r="AL71" s="313"/>
      <c r="AM71" s="313"/>
      <c r="AN71" s="313"/>
      <c r="AO71" s="313"/>
      <c r="AP71" s="313"/>
      <c r="AQ71" s="313"/>
      <c r="AR71" s="313"/>
      <c r="AS71" s="313"/>
      <c r="AT71" s="313"/>
    </row>
    <row r="72" spans="1:125" s="314" customFormat="1" ht="27" customHeight="1">
      <c r="A72" s="473"/>
      <c r="B72" s="354"/>
      <c r="C72" s="354"/>
      <c r="D72" s="358" t="s">
        <v>165</v>
      </c>
      <c r="E72" s="354"/>
      <c r="F72" s="392">
        <v>15</v>
      </c>
      <c r="G72" s="356"/>
      <c r="H72" s="356"/>
      <c r="I72" s="360"/>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3"/>
      <c r="AK72" s="313"/>
      <c r="AL72" s="313"/>
      <c r="AM72" s="313"/>
      <c r="AN72" s="313"/>
      <c r="AO72" s="313"/>
      <c r="AP72" s="313"/>
      <c r="AQ72" s="313"/>
      <c r="AR72" s="313"/>
      <c r="AS72" s="313"/>
      <c r="AT72" s="313"/>
    </row>
    <row r="73" spans="1:125" s="314" customFormat="1" ht="21" customHeight="1">
      <c r="A73" s="474"/>
      <c r="B73" s="475"/>
      <c r="C73" s="475"/>
      <c r="D73" s="475" t="s">
        <v>18</v>
      </c>
      <c r="E73" s="475"/>
      <c r="F73" s="476"/>
      <c r="G73" s="477"/>
      <c r="H73" s="477">
        <f>H9</f>
        <v>0</v>
      </c>
      <c r="I73" s="313"/>
      <c r="J73" s="313"/>
      <c r="K73" s="313"/>
      <c r="L73" s="313"/>
      <c r="M73" s="313"/>
      <c r="N73" s="313"/>
      <c r="O73" s="313"/>
      <c r="P73" s="313"/>
      <c r="Q73" s="313"/>
      <c r="R73" s="313"/>
      <c r="S73" s="313"/>
      <c r="T73" s="313"/>
      <c r="U73" s="313"/>
      <c r="V73" s="313"/>
      <c r="W73" s="313"/>
      <c r="X73" s="313"/>
      <c r="Y73" s="313"/>
      <c r="Z73" s="313"/>
      <c r="AA73" s="313"/>
      <c r="AB73" s="313"/>
      <c r="AC73" s="313"/>
      <c r="AD73" s="313"/>
      <c r="AE73" s="313"/>
      <c r="AF73" s="313"/>
      <c r="AG73" s="313"/>
      <c r="AH73" s="313"/>
      <c r="AI73" s="313"/>
      <c r="AJ73" s="313"/>
      <c r="AK73" s="313"/>
      <c r="AL73" s="313"/>
      <c r="AM73" s="313"/>
      <c r="AN73" s="313"/>
      <c r="AO73" s="313"/>
      <c r="AP73" s="313"/>
      <c r="AQ73" s="313"/>
      <c r="AR73" s="313"/>
      <c r="AS73" s="313"/>
      <c r="AT73" s="313"/>
      <c r="AU73" s="313"/>
      <c r="AV73" s="313"/>
      <c r="AW73" s="313"/>
      <c r="AX73" s="313"/>
      <c r="AY73" s="313"/>
      <c r="AZ73" s="313"/>
      <c r="BA73" s="313"/>
      <c r="BB73" s="313"/>
      <c r="BC73" s="313"/>
      <c r="BD73" s="313"/>
      <c r="BE73" s="313"/>
      <c r="BF73" s="313"/>
      <c r="BG73" s="313"/>
      <c r="BH73" s="313"/>
      <c r="BI73" s="313"/>
      <c r="BJ73" s="313"/>
      <c r="BK73" s="313"/>
      <c r="BL73" s="313"/>
      <c r="BM73" s="313"/>
      <c r="BN73" s="313"/>
      <c r="BO73" s="313"/>
      <c r="BP73" s="313"/>
      <c r="BQ73" s="313"/>
      <c r="BR73" s="313"/>
      <c r="BS73" s="313"/>
      <c r="BT73" s="313"/>
      <c r="BU73" s="313"/>
      <c r="BV73" s="313"/>
      <c r="BW73" s="313"/>
      <c r="BX73" s="313"/>
      <c r="BY73" s="313"/>
      <c r="BZ73" s="313"/>
      <c r="CA73" s="313"/>
      <c r="CB73" s="313"/>
      <c r="CC73" s="313"/>
      <c r="CD73" s="313"/>
      <c r="CE73" s="313"/>
      <c r="CF73" s="313"/>
      <c r="CG73" s="313"/>
      <c r="CH73" s="313"/>
      <c r="CI73" s="313"/>
      <c r="CJ73" s="313"/>
      <c r="CK73" s="313"/>
      <c r="CL73" s="313"/>
      <c r="CM73" s="313"/>
      <c r="CN73" s="313"/>
      <c r="CO73" s="313"/>
      <c r="CP73" s="313"/>
      <c r="CQ73" s="313"/>
      <c r="CR73" s="313"/>
      <c r="CS73" s="313"/>
      <c r="CT73" s="313"/>
      <c r="CU73" s="313"/>
      <c r="CV73" s="313"/>
      <c r="CW73" s="313"/>
      <c r="CX73" s="313"/>
      <c r="CY73" s="313"/>
      <c r="CZ73" s="313"/>
      <c r="DA73" s="313"/>
      <c r="DB73" s="313"/>
      <c r="DC73" s="313"/>
      <c r="DD73" s="313"/>
      <c r="DE73" s="313"/>
      <c r="DF73" s="313"/>
      <c r="DG73" s="313"/>
      <c r="DH73" s="313"/>
      <c r="DI73" s="313"/>
      <c r="DJ73" s="313"/>
      <c r="DK73" s="313"/>
      <c r="DL73" s="313"/>
      <c r="DM73" s="313"/>
      <c r="DN73" s="313"/>
      <c r="DO73" s="313"/>
      <c r="DP73" s="313"/>
      <c r="DQ73" s="313"/>
      <c r="DR73" s="313"/>
      <c r="DS73" s="313"/>
      <c r="DT73" s="313"/>
      <c r="DU73" s="313"/>
    </row>
    <row r="75" spans="1:125" s="314" customFormat="1" ht="13.5" customHeight="1">
      <c r="A75" s="478" t="s">
        <v>88</v>
      </c>
      <c r="B75" s="479"/>
      <c r="C75" s="480"/>
      <c r="D75" s="481" t="s">
        <v>351</v>
      </c>
      <c r="E75" s="482"/>
      <c r="F75" s="483"/>
      <c r="G75" s="484"/>
      <c r="H75" s="485">
        <f>H73</f>
        <v>0</v>
      </c>
      <c r="I75" s="313"/>
      <c r="J75" s="313"/>
      <c r="K75" s="313"/>
      <c r="L75" s="313"/>
      <c r="M75" s="313"/>
      <c r="N75" s="313"/>
      <c r="O75" s="313"/>
      <c r="P75" s="313"/>
      <c r="Q75" s="313"/>
      <c r="R75" s="313"/>
      <c r="S75" s="313"/>
      <c r="T75" s="313"/>
      <c r="U75" s="313"/>
      <c r="V75" s="313"/>
      <c r="W75" s="313"/>
      <c r="X75" s="313"/>
      <c r="Y75" s="313"/>
      <c r="Z75" s="313"/>
      <c r="AA75" s="313"/>
      <c r="AB75" s="313"/>
      <c r="AC75" s="313"/>
      <c r="AD75" s="313"/>
      <c r="AE75" s="313"/>
      <c r="AF75" s="313"/>
      <c r="AG75" s="313"/>
      <c r="AH75" s="313"/>
      <c r="AI75" s="313"/>
      <c r="AJ75" s="313"/>
      <c r="AK75" s="313"/>
      <c r="AL75" s="313"/>
      <c r="AM75" s="313"/>
      <c r="AN75" s="313"/>
      <c r="AO75" s="313"/>
      <c r="AP75" s="313"/>
      <c r="AQ75" s="313"/>
      <c r="AR75" s="313"/>
      <c r="AS75" s="313"/>
      <c r="AT75" s="313"/>
      <c r="AU75" s="313"/>
      <c r="AV75" s="313"/>
      <c r="AW75" s="313"/>
      <c r="AX75" s="313"/>
      <c r="AY75" s="313"/>
      <c r="AZ75" s="313"/>
      <c r="BA75" s="313"/>
      <c r="BB75" s="313"/>
      <c r="BC75" s="313"/>
      <c r="BD75" s="313"/>
      <c r="BE75" s="313"/>
      <c r="BF75" s="313"/>
      <c r="BG75" s="313"/>
      <c r="BH75" s="313"/>
      <c r="BI75" s="313"/>
      <c r="BJ75" s="313"/>
      <c r="BK75" s="313"/>
      <c r="BL75" s="313"/>
      <c r="BM75" s="313"/>
      <c r="BN75" s="313"/>
      <c r="BO75" s="313"/>
      <c r="BP75" s="313"/>
      <c r="BQ75" s="313"/>
      <c r="BR75" s="313"/>
      <c r="BS75" s="313"/>
      <c r="BT75" s="313"/>
      <c r="BU75" s="313"/>
      <c r="BV75" s="313"/>
      <c r="BW75" s="313"/>
      <c r="BX75" s="313"/>
      <c r="BY75" s="313"/>
      <c r="BZ75" s="313"/>
      <c r="CA75" s="313"/>
      <c r="CB75" s="313"/>
      <c r="CC75" s="313"/>
      <c r="CD75" s="313"/>
      <c r="CE75" s="313"/>
      <c r="CF75" s="313"/>
      <c r="CG75" s="313"/>
      <c r="CH75" s="313"/>
      <c r="CI75" s="313"/>
      <c r="CJ75" s="313"/>
      <c r="CK75" s="313"/>
      <c r="CL75" s="313"/>
      <c r="CM75" s="313"/>
      <c r="CN75" s="313"/>
      <c r="CO75" s="313"/>
      <c r="CP75" s="313"/>
      <c r="CQ75" s="313"/>
      <c r="CR75" s="313"/>
      <c r="CS75" s="313"/>
      <c r="CT75" s="313"/>
      <c r="CU75" s="313"/>
      <c r="CV75" s="313"/>
      <c r="CW75" s="313"/>
      <c r="CX75" s="313"/>
      <c r="CY75" s="313"/>
      <c r="CZ75" s="313"/>
      <c r="DA75" s="313"/>
      <c r="DB75" s="313"/>
      <c r="DC75" s="313"/>
      <c r="DD75" s="313"/>
      <c r="DE75" s="313"/>
      <c r="DF75" s="313"/>
      <c r="DG75" s="313"/>
      <c r="DH75" s="313"/>
      <c r="DI75" s="313"/>
      <c r="DJ75" s="313"/>
      <c r="DK75" s="313"/>
      <c r="DL75" s="313"/>
      <c r="DM75" s="313"/>
      <c r="DN75" s="313"/>
      <c r="DO75" s="313"/>
      <c r="DP75" s="313"/>
      <c r="DQ75" s="313"/>
      <c r="DR75" s="313"/>
      <c r="DS75" s="313"/>
      <c r="DT75" s="313"/>
      <c r="DU75" s="313"/>
    </row>
    <row r="76" spans="1:125" s="314" customFormat="1" ht="13.5" customHeight="1">
      <c r="A76" s="486"/>
      <c r="B76" s="487"/>
      <c r="C76" s="487"/>
      <c r="D76" s="488"/>
      <c r="E76" s="489"/>
      <c r="F76" s="490"/>
      <c r="G76" s="491"/>
      <c r="H76" s="492"/>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3"/>
      <c r="AL76" s="313"/>
      <c r="AM76" s="313"/>
      <c r="AN76" s="313"/>
      <c r="AO76" s="313"/>
      <c r="AP76" s="313"/>
      <c r="AQ76" s="313"/>
      <c r="AR76" s="313"/>
      <c r="AS76" s="313"/>
      <c r="AT76" s="313"/>
      <c r="AU76" s="313"/>
      <c r="AV76" s="313"/>
      <c r="AW76" s="313"/>
      <c r="AX76" s="313"/>
      <c r="AY76" s="313"/>
      <c r="AZ76" s="313"/>
      <c r="BA76" s="313"/>
      <c r="BB76" s="313"/>
      <c r="BC76" s="313"/>
      <c r="BD76" s="313"/>
      <c r="BE76" s="313"/>
      <c r="BF76" s="313"/>
      <c r="BG76" s="313"/>
      <c r="BH76" s="313"/>
      <c r="BI76" s="313"/>
      <c r="BJ76" s="313"/>
      <c r="BK76" s="313"/>
      <c r="BL76" s="313"/>
      <c r="BM76" s="313"/>
      <c r="BN76" s="313"/>
      <c r="BO76" s="313"/>
      <c r="BP76" s="313"/>
      <c r="BQ76" s="313"/>
      <c r="BR76" s="313"/>
      <c r="BS76" s="313"/>
      <c r="BT76" s="313"/>
      <c r="BU76" s="313"/>
      <c r="BV76" s="313"/>
      <c r="BW76" s="313"/>
      <c r="BX76" s="313"/>
      <c r="BY76" s="313"/>
      <c r="BZ76" s="313"/>
      <c r="CA76" s="313"/>
      <c r="CB76" s="313"/>
      <c r="CC76" s="313"/>
      <c r="CD76" s="313"/>
      <c r="CE76" s="313"/>
      <c r="CF76" s="313"/>
      <c r="CG76" s="313"/>
      <c r="CH76" s="313"/>
      <c r="CI76" s="313"/>
      <c r="CJ76" s="313"/>
      <c r="CK76" s="313"/>
      <c r="CL76" s="313"/>
      <c r="CM76" s="313"/>
      <c r="CN76" s="313"/>
      <c r="CO76" s="313"/>
      <c r="CP76" s="313"/>
      <c r="CQ76" s="313"/>
      <c r="CR76" s="313"/>
      <c r="CS76" s="313"/>
      <c r="CT76" s="313"/>
      <c r="CU76" s="313"/>
      <c r="CV76" s="313"/>
      <c r="CW76" s="313"/>
      <c r="CX76" s="313"/>
      <c r="CY76" s="313"/>
      <c r="CZ76" s="313"/>
      <c r="DA76" s="313"/>
      <c r="DB76" s="313"/>
      <c r="DC76" s="313"/>
      <c r="DD76" s="313"/>
      <c r="DE76" s="313"/>
      <c r="DF76" s="313"/>
      <c r="DG76" s="313"/>
      <c r="DH76" s="313"/>
      <c r="DI76" s="313"/>
      <c r="DJ76" s="313"/>
      <c r="DK76" s="313"/>
      <c r="DL76" s="313"/>
      <c r="DM76" s="313"/>
      <c r="DN76" s="313"/>
      <c r="DO76" s="313"/>
      <c r="DP76" s="313"/>
      <c r="DQ76" s="313"/>
      <c r="DR76" s="313"/>
      <c r="DS76" s="313"/>
      <c r="DT76" s="313"/>
      <c r="DU76" s="313"/>
    </row>
    <row r="77" spans="1:125" s="307" customFormat="1" ht="11.25">
      <c r="A77" s="69" t="s">
        <v>22</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69"/>
      <c r="AS77" s="69"/>
      <c r="AT77" s="69"/>
      <c r="AU77" s="69"/>
      <c r="AV77" s="69"/>
      <c r="AW77" s="69"/>
      <c r="AX77" s="69"/>
      <c r="AY77" s="69"/>
      <c r="AZ77" s="69"/>
      <c r="BA77" s="69"/>
      <c r="BB77" s="69"/>
      <c r="BC77" s="69"/>
      <c r="BD77" s="69"/>
      <c r="BE77" s="69"/>
      <c r="BF77" s="69"/>
      <c r="BG77" s="69"/>
      <c r="BH77" s="69"/>
      <c r="BI77" s="69"/>
      <c r="BJ77" s="69"/>
      <c r="BK77" s="69"/>
      <c r="BL77" s="69"/>
      <c r="BM77" s="69"/>
      <c r="BN77" s="69"/>
      <c r="BO77" s="69"/>
      <c r="BP77" s="69"/>
      <c r="BQ77" s="69"/>
      <c r="BR77" s="69"/>
      <c r="BS77" s="69"/>
      <c r="BT77" s="69"/>
      <c r="BU77" s="69"/>
      <c r="BV77" s="69"/>
      <c r="BW77" s="69"/>
      <c r="BX77" s="69"/>
      <c r="BY77" s="69"/>
      <c r="BZ77" s="69"/>
      <c r="CA77" s="69"/>
      <c r="CB77" s="69"/>
      <c r="CC77" s="69"/>
      <c r="CD77" s="69"/>
      <c r="CE77" s="69"/>
      <c r="CF77" s="69"/>
      <c r="CG77" s="69"/>
      <c r="CH77" s="69"/>
      <c r="CI77" s="69"/>
      <c r="CJ77" s="69"/>
      <c r="CK77" s="69"/>
      <c r="CL77" s="69"/>
      <c r="CM77" s="69"/>
      <c r="CN77" s="69"/>
      <c r="CO77" s="69"/>
      <c r="CP77" s="69"/>
      <c r="CQ77" s="69"/>
      <c r="CR77" s="69"/>
      <c r="CS77" s="69"/>
      <c r="CT77" s="69"/>
      <c r="CU77" s="69"/>
      <c r="CV77" s="69"/>
      <c r="CW77" s="69"/>
      <c r="CX77" s="69"/>
      <c r="CY77" s="69"/>
      <c r="CZ77" s="69"/>
      <c r="DA77" s="69"/>
      <c r="DB77" s="69"/>
      <c r="DC77" s="69"/>
      <c r="DD77" s="69"/>
      <c r="DE77" s="69"/>
      <c r="DF77" s="69"/>
      <c r="DG77" s="69"/>
      <c r="DH77" s="69"/>
      <c r="DI77" s="69"/>
      <c r="DJ77" s="69"/>
      <c r="DK77" s="69"/>
      <c r="DL77" s="69"/>
      <c r="DM77" s="69"/>
      <c r="DN77" s="69"/>
      <c r="DO77" s="69"/>
      <c r="DP77" s="69"/>
      <c r="DQ77" s="69"/>
      <c r="DR77" s="69"/>
      <c r="DS77" s="69"/>
      <c r="DT77" s="69"/>
      <c r="DU77" s="69"/>
    </row>
    <row r="78" spans="1:125" s="307" customFormat="1" ht="23.45" customHeight="1">
      <c r="A78" s="143" t="s">
        <v>89</v>
      </c>
      <c r="B78" s="493"/>
      <c r="C78" s="493"/>
      <c r="D78" s="493"/>
      <c r="E78" s="493"/>
      <c r="F78" s="493"/>
      <c r="G78" s="493"/>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c r="BA78" s="69"/>
      <c r="BB78" s="69"/>
      <c r="BC78" s="69"/>
      <c r="BD78" s="69"/>
      <c r="BE78" s="69"/>
      <c r="BF78" s="69"/>
      <c r="BG78" s="69"/>
      <c r="BH78" s="69"/>
      <c r="BI78" s="69"/>
      <c r="BJ78" s="69"/>
      <c r="BK78" s="69"/>
      <c r="BL78" s="69"/>
      <c r="BM78" s="69"/>
      <c r="BN78" s="69"/>
      <c r="BO78" s="69"/>
      <c r="BP78" s="69"/>
      <c r="BQ78" s="69"/>
      <c r="BR78" s="69"/>
      <c r="BS78" s="69"/>
      <c r="BT78" s="69"/>
      <c r="BU78" s="69"/>
      <c r="BV78" s="69"/>
      <c r="BW78" s="69"/>
      <c r="BX78" s="69"/>
      <c r="BY78" s="69"/>
      <c r="BZ78" s="69"/>
      <c r="CA78" s="69"/>
      <c r="CB78" s="69"/>
      <c r="CC78" s="69"/>
      <c r="CD78" s="69"/>
      <c r="CE78" s="69"/>
      <c r="CF78" s="69"/>
      <c r="CG78" s="69"/>
      <c r="CH78" s="69"/>
      <c r="CI78" s="69"/>
      <c r="CJ78" s="69"/>
      <c r="CK78" s="69"/>
      <c r="CL78" s="69"/>
      <c r="CM78" s="69"/>
      <c r="CN78" s="69"/>
      <c r="CO78" s="69"/>
      <c r="CP78" s="69"/>
      <c r="CQ78" s="69"/>
      <c r="CR78" s="69"/>
      <c r="CS78" s="69"/>
      <c r="CT78" s="69"/>
      <c r="CU78" s="69"/>
      <c r="CV78" s="69"/>
      <c r="CW78" s="69"/>
      <c r="CX78" s="69"/>
      <c r="CY78" s="69"/>
      <c r="CZ78" s="69"/>
      <c r="DA78" s="69"/>
      <c r="DB78" s="69"/>
      <c r="DC78" s="69"/>
      <c r="DD78" s="69"/>
      <c r="DE78" s="69"/>
      <c r="DF78" s="69"/>
      <c r="DG78" s="69"/>
      <c r="DH78" s="69"/>
      <c r="DI78" s="69"/>
      <c r="DJ78" s="69"/>
      <c r="DK78" s="69"/>
      <c r="DL78" s="69"/>
      <c r="DM78" s="69"/>
      <c r="DN78" s="69"/>
      <c r="DO78" s="69"/>
      <c r="DP78" s="69"/>
      <c r="DQ78" s="69"/>
      <c r="DR78" s="69"/>
      <c r="DS78" s="69"/>
      <c r="DT78" s="69"/>
      <c r="DU78" s="69"/>
    </row>
    <row r="79" spans="1:125" s="307" customFormat="1" ht="93.75" customHeight="1">
      <c r="A79" s="143" t="s">
        <v>90</v>
      </c>
      <c r="B79" s="150"/>
      <c r="C79" s="150"/>
      <c r="D79" s="150"/>
      <c r="E79" s="150"/>
      <c r="F79" s="150"/>
      <c r="G79" s="150"/>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c r="BA79" s="69"/>
      <c r="BB79" s="69"/>
      <c r="BC79" s="69"/>
      <c r="BD79" s="69"/>
      <c r="BE79" s="69"/>
      <c r="BF79" s="69"/>
      <c r="BG79" s="69"/>
      <c r="BH79" s="69"/>
      <c r="BI79" s="69"/>
      <c r="BJ79" s="69"/>
      <c r="BK79" s="69"/>
      <c r="BL79" s="69"/>
      <c r="BM79" s="69"/>
      <c r="BN79" s="69"/>
      <c r="BO79" s="69"/>
      <c r="BP79" s="69"/>
      <c r="BQ79" s="69"/>
      <c r="BR79" s="69"/>
      <c r="BS79" s="69"/>
      <c r="BT79" s="69"/>
      <c r="BU79" s="69"/>
      <c r="BV79" s="69"/>
      <c r="BW79" s="69"/>
      <c r="BX79" s="69"/>
      <c r="BY79" s="69"/>
      <c r="BZ79" s="69"/>
      <c r="CA79" s="69"/>
      <c r="CB79" s="69"/>
      <c r="CC79" s="69"/>
      <c r="CD79" s="69"/>
      <c r="CE79" s="69"/>
      <c r="CF79" s="69"/>
      <c r="CG79" s="69"/>
      <c r="CH79" s="69"/>
      <c r="CI79" s="69"/>
      <c r="CJ79" s="69"/>
      <c r="CK79" s="69"/>
      <c r="CL79" s="69"/>
      <c r="CM79" s="69"/>
      <c r="CN79" s="69"/>
      <c r="CO79" s="69"/>
      <c r="CP79" s="69"/>
      <c r="CQ79" s="69"/>
      <c r="CR79" s="69"/>
      <c r="CS79" s="69"/>
      <c r="CT79" s="69"/>
      <c r="CU79" s="69"/>
      <c r="CV79" s="69"/>
      <c r="CW79" s="69"/>
      <c r="CX79" s="69"/>
      <c r="CY79" s="69"/>
      <c r="CZ79" s="69"/>
      <c r="DA79" s="69"/>
      <c r="DB79" s="69"/>
      <c r="DC79" s="69"/>
      <c r="DD79" s="69"/>
      <c r="DE79" s="69"/>
      <c r="DF79" s="69"/>
      <c r="DG79" s="69"/>
      <c r="DH79" s="69"/>
      <c r="DI79" s="69"/>
      <c r="DJ79" s="69"/>
      <c r="DK79" s="69"/>
      <c r="DL79" s="69"/>
      <c r="DM79" s="69"/>
      <c r="DN79" s="69"/>
      <c r="DO79" s="69"/>
      <c r="DP79" s="69"/>
      <c r="DQ79" s="69"/>
      <c r="DR79" s="69"/>
      <c r="DS79" s="69"/>
      <c r="DT79" s="69"/>
      <c r="DU79" s="69"/>
    </row>
    <row r="80" spans="1:125" s="496" customFormat="1" ht="13.5" customHeight="1">
      <c r="A80" s="143" t="s">
        <v>69</v>
      </c>
      <c r="B80" s="494"/>
      <c r="C80" s="494"/>
      <c r="D80" s="494"/>
      <c r="E80" s="494"/>
      <c r="F80" s="494"/>
      <c r="G80" s="494"/>
      <c r="H80" s="70"/>
      <c r="I80" s="71"/>
      <c r="J80" s="495"/>
      <c r="K80" s="495"/>
      <c r="L80" s="495"/>
      <c r="M80" s="495"/>
      <c r="N80" s="495"/>
      <c r="O80" s="495"/>
      <c r="P80" s="495"/>
      <c r="Q80" s="495"/>
      <c r="R80" s="495"/>
      <c r="S80" s="495"/>
      <c r="T80" s="495"/>
      <c r="U80" s="495"/>
      <c r="V80" s="495"/>
      <c r="W80" s="495"/>
      <c r="X80" s="495"/>
      <c r="Y80" s="495"/>
      <c r="Z80" s="495"/>
      <c r="AA80" s="495"/>
      <c r="AB80" s="495"/>
      <c r="AC80" s="495"/>
      <c r="AD80" s="495"/>
      <c r="AE80" s="495"/>
      <c r="AF80" s="495"/>
      <c r="AG80" s="495"/>
      <c r="AH80" s="495"/>
      <c r="AI80" s="495"/>
      <c r="AJ80" s="495"/>
      <c r="AK80" s="495"/>
      <c r="AL80" s="495"/>
      <c r="AM80" s="495"/>
      <c r="AN80" s="495"/>
      <c r="AO80" s="495"/>
      <c r="AP80" s="495"/>
      <c r="AQ80" s="495"/>
      <c r="AR80" s="495"/>
      <c r="AS80" s="495"/>
      <c r="AT80" s="495"/>
      <c r="AU80" s="495"/>
      <c r="AV80" s="495"/>
      <c r="AW80" s="495"/>
      <c r="AX80" s="495"/>
      <c r="AY80" s="495"/>
      <c r="AZ80" s="495"/>
      <c r="BA80" s="495"/>
      <c r="BB80" s="495"/>
      <c r="BC80" s="495"/>
      <c r="BD80" s="495"/>
      <c r="BE80" s="495"/>
      <c r="BF80" s="495"/>
      <c r="BG80" s="495"/>
      <c r="BH80" s="495"/>
      <c r="BI80" s="495"/>
      <c r="BJ80" s="495"/>
      <c r="BK80" s="495"/>
      <c r="BL80" s="495"/>
      <c r="BM80" s="495"/>
      <c r="BN80" s="495"/>
      <c r="BO80" s="495"/>
      <c r="BP80" s="495"/>
      <c r="BQ80" s="495"/>
      <c r="BR80" s="495"/>
      <c r="BS80" s="495"/>
      <c r="BT80" s="495"/>
      <c r="BU80" s="495"/>
      <c r="BV80" s="495"/>
      <c r="BW80" s="495"/>
      <c r="BX80" s="495"/>
      <c r="BY80" s="495"/>
      <c r="BZ80" s="495"/>
      <c r="CA80" s="495"/>
      <c r="CB80" s="495"/>
      <c r="CC80" s="495"/>
      <c r="CD80" s="495"/>
      <c r="CE80" s="495"/>
      <c r="CF80" s="495"/>
      <c r="CG80" s="495"/>
      <c r="CH80" s="495"/>
      <c r="CI80" s="495"/>
      <c r="CJ80" s="495"/>
      <c r="CK80" s="495"/>
      <c r="CL80" s="495"/>
      <c r="CM80" s="495"/>
      <c r="CN80" s="495"/>
      <c r="CO80" s="495"/>
      <c r="CP80" s="495"/>
      <c r="CQ80" s="495"/>
      <c r="CR80" s="495"/>
      <c r="CS80" s="495"/>
      <c r="CT80" s="495"/>
      <c r="CU80" s="495"/>
      <c r="CV80" s="495"/>
      <c r="CW80" s="495"/>
      <c r="CX80" s="495"/>
      <c r="CY80" s="495"/>
      <c r="CZ80" s="495"/>
      <c r="DA80" s="495"/>
      <c r="DB80" s="495"/>
      <c r="DC80" s="495"/>
      <c r="DD80" s="495"/>
      <c r="DE80" s="495"/>
      <c r="DF80" s="495"/>
      <c r="DG80" s="495"/>
      <c r="DH80" s="495"/>
      <c r="DI80" s="495"/>
      <c r="DJ80" s="495"/>
      <c r="DK80" s="495"/>
      <c r="DL80" s="495"/>
      <c r="DM80" s="495"/>
      <c r="DN80" s="495"/>
      <c r="DO80" s="495"/>
      <c r="DP80" s="495"/>
      <c r="DQ80" s="495"/>
      <c r="DR80" s="495"/>
      <c r="DS80" s="495"/>
      <c r="DT80" s="495"/>
      <c r="DU80" s="495"/>
    </row>
    <row r="81" spans="1:125" s="496" customFormat="1" ht="13.5" customHeight="1">
      <c r="A81" s="143" t="s">
        <v>70</v>
      </c>
      <c r="B81" s="494"/>
      <c r="C81" s="494"/>
      <c r="D81" s="494"/>
      <c r="E81" s="494"/>
      <c r="F81" s="494"/>
      <c r="G81" s="494"/>
      <c r="H81" s="70"/>
      <c r="I81" s="71"/>
      <c r="J81" s="495"/>
      <c r="K81" s="495"/>
      <c r="L81" s="495"/>
      <c r="M81" s="495"/>
      <c r="N81" s="495"/>
      <c r="O81" s="495"/>
      <c r="P81" s="495"/>
      <c r="Q81" s="495"/>
      <c r="R81" s="495"/>
      <c r="S81" s="495"/>
      <c r="T81" s="495"/>
      <c r="U81" s="495"/>
      <c r="V81" s="495"/>
      <c r="W81" s="495"/>
      <c r="X81" s="495"/>
      <c r="Y81" s="495"/>
      <c r="Z81" s="495"/>
      <c r="AA81" s="495"/>
      <c r="AB81" s="495"/>
      <c r="AC81" s="495"/>
      <c r="AD81" s="495"/>
      <c r="AE81" s="495"/>
      <c r="AF81" s="495"/>
      <c r="AG81" s="495"/>
      <c r="AH81" s="495"/>
      <c r="AI81" s="495"/>
      <c r="AJ81" s="495"/>
      <c r="AK81" s="495"/>
      <c r="AL81" s="495"/>
      <c r="AM81" s="495"/>
      <c r="AN81" s="495"/>
      <c r="AO81" s="495"/>
      <c r="AP81" s="495"/>
      <c r="AQ81" s="495"/>
      <c r="AR81" s="495"/>
      <c r="AS81" s="495"/>
      <c r="AT81" s="495"/>
      <c r="AU81" s="495"/>
      <c r="AV81" s="495"/>
      <c r="AW81" s="495"/>
      <c r="AX81" s="495"/>
      <c r="AY81" s="495"/>
      <c r="AZ81" s="495"/>
      <c r="BA81" s="495"/>
      <c r="BB81" s="495"/>
      <c r="BC81" s="495"/>
      <c r="BD81" s="495"/>
      <c r="BE81" s="495"/>
      <c r="BF81" s="495"/>
      <c r="BG81" s="495"/>
      <c r="BH81" s="495"/>
      <c r="BI81" s="495"/>
      <c r="BJ81" s="495"/>
      <c r="BK81" s="495"/>
      <c r="BL81" s="495"/>
      <c r="BM81" s="495"/>
      <c r="BN81" s="495"/>
      <c r="BO81" s="495"/>
      <c r="BP81" s="495"/>
      <c r="BQ81" s="495"/>
      <c r="BR81" s="495"/>
      <c r="BS81" s="495"/>
      <c r="BT81" s="495"/>
      <c r="BU81" s="495"/>
      <c r="BV81" s="495"/>
      <c r="BW81" s="495"/>
      <c r="BX81" s="495"/>
      <c r="BY81" s="495"/>
      <c r="BZ81" s="495"/>
      <c r="CA81" s="495"/>
      <c r="CB81" s="495"/>
      <c r="CC81" s="495"/>
      <c r="CD81" s="495"/>
      <c r="CE81" s="495"/>
      <c r="CF81" s="495"/>
      <c r="CG81" s="495"/>
      <c r="CH81" s="495"/>
      <c r="CI81" s="495"/>
      <c r="CJ81" s="495"/>
      <c r="CK81" s="495"/>
      <c r="CL81" s="495"/>
      <c r="CM81" s="495"/>
      <c r="CN81" s="495"/>
      <c r="CO81" s="495"/>
      <c r="CP81" s="495"/>
      <c r="CQ81" s="495"/>
      <c r="CR81" s="495"/>
      <c r="CS81" s="495"/>
      <c r="CT81" s="495"/>
      <c r="CU81" s="495"/>
      <c r="CV81" s="495"/>
      <c r="CW81" s="495"/>
      <c r="CX81" s="495"/>
      <c r="CY81" s="495"/>
      <c r="CZ81" s="495"/>
      <c r="DA81" s="495"/>
      <c r="DB81" s="495"/>
      <c r="DC81" s="495"/>
      <c r="DD81" s="495"/>
      <c r="DE81" s="495"/>
      <c r="DF81" s="495"/>
      <c r="DG81" s="495"/>
      <c r="DH81" s="495"/>
      <c r="DI81" s="495"/>
      <c r="DJ81" s="495"/>
      <c r="DK81" s="495"/>
      <c r="DL81" s="495"/>
      <c r="DM81" s="495"/>
      <c r="DN81" s="495"/>
      <c r="DO81" s="495"/>
      <c r="DP81" s="495"/>
      <c r="DQ81" s="495"/>
      <c r="DR81" s="495"/>
      <c r="DS81" s="495"/>
      <c r="DT81" s="495"/>
      <c r="DU81" s="495"/>
    </row>
    <row r="82" spans="1:125" s="496" customFormat="1" ht="54" customHeight="1">
      <c r="A82" s="497" t="s">
        <v>352</v>
      </c>
      <c r="B82" s="497"/>
      <c r="C82" s="497"/>
      <c r="D82" s="497"/>
      <c r="E82" s="497"/>
      <c r="F82" s="497"/>
      <c r="G82" s="497"/>
      <c r="H82" s="70"/>
      <c r="I82" s="71"/>
      <c r="J82" s="495"/>
      <c r="K82" s="495"/>
      <c r="L82" s="495"/>
      <c r="M82" s="495"/>
      <c r="N82" s="495"/>
      <c r="O82" s="495"/>
      <c r="P82" s="495"/>
      <c r="Q82" s="495"/>
      <c r="R82" s="495"/>
      <c r="S82" s="495"/>
      <c r="T82" s="495"/>
      <c r="U82" s="495"/>
      <c r="V82" s="495"/>
      <c r="W82" s="495"/>
      <c r="X82" s="495"/>
      <c r="Y82" s="495"/>
      <c r="Z82" s="495"/>
      <c r="AA82" s="495"/>
      <c r="AB82" s="495"/>
      <c r="AC82" s="495"/>
      <c r="AD82" s="495"/>
      <c r="AE82" s="495"/>
      <c r="AF82" s="495"/>
      <c r="AG82" s="495"/>
      <c r="AH82" s="495"/>
      <c r="AI82" s="495"/>
      <c r="AJ82" s="495"/>
      <c r="AK82" s="495"/>
      <c r="AL82" s="495"/>
      <c r="AM82" s="495"/>
      <c r="AN82" s="495"/>
      <c r="AO82" s="495"/>
      <c r="AP82" s="495"/>
      <c r="AQ82" s="495"/>
      <c r="AR82" s="495"/>
      <c r="AS82" s="495"/>
      <c r="AT82" s="495"/>
      <c r="AU82" s="495"/>
      <c r="AV82" s="495"/>
      <c r="AW82" s="495"/>
      <c r="AX82" s="495"/>
      <c r="AY82" s="495"/>
      <c r="AZ82" s="495"/>
      <c r="BA82" s="495"/>
      <c r="BB82" s="495"/>
      <c r="BC82" s="495"/>
      <c r="BD82" s="495"/>
      <c r="BE82" s="495"/>
      <c r="BF82" s="495"/>
      <c r="BG82" s="495"/>
      <c r="BH82" s="495"/>
      <c r="BI82" s="495"/>
      <c r="BJ82" s="495"/>
      <c r="BK82" s="495"/>
      <c r="BL82" s="495"/>
      <c r="BM82" s="495"/>
      <c r="BN82" s="495"/>
      <c r="BO82" s="495"/>
      <c r="BP82" s="495"/>
      <c r="BQ82" s="495"/>
      <c r="BR82" s="495"/>
      <c r="BS82" s="495"/>
      <c r="BT82" s="495"/>
      <c r="BU82" s="495"/>
      <c r="BV82" s="495"/>
      <c r="BW82" s="495"/>
      <c r="BX82" s="495"/>
      <c r="BY82" s="495"/>
      <c r="BZ82" s="495"/>
      <c r="CA82" s="495"/>
      <c r="CB82" s="495"/>
      <c r="CC82" s="495"/>
      <c r="CD82" s="495"/>
      <c r="CE82" s="495"/>
      <c r="CF82" s="495"/>
      <c r="CG82" s="495"/>
      <c r="CH82" s="495"/>
      <c r="CI82" s="495"/>
      <c r="CJ82" s="495"/>
      <c r="CK82" s="495"/>
      <c r="CL82" s="495"/>
      <c r="CM82" s="495"/>
      <c r="CN82" s="495"/>
      <c r="CO82" s="495"/>
      <c r="CP82" s="495"/>
      <c r="CQ82" s="495"/>
      <c r="CR82" s="495"/>
      <c r="CS82" s="495"/>
      <c r="CT82" s="495"/>
      <c r="CU82" s="495"/>
      <c r="CV82" s="495"/>
      <c r="CW82" s="495"/>
      <c r="CX82" s="495"/>
      <c r="CY82" s="495"/>
      <c r="CZ82" s="495"/>
      <c r="DA82" s="495"/>
      <c r="DB82" s="495"/>
      <c r="DC82" s="495"/>
      <c r="DD82" s="495"/>
      <c r="DE82" s="495"/>
      <c r="DF82" s="495"/>
      <c r="DG82" s="495"/>
      <c r="DH82" s="495"/>
      <c r="DI82" s="495"/>
      <c r="DJ82" s="495"/>
      <c r="DK82" s="495"/>
      <c r="DL82" s="495"/>
      <c r="DM82" s="495"/>
      <c r="DN82" s="495"/>
      <c r="DO82" s="495"/>
      <c r="DP82" s="495"/>
      <c r="DQ82" s="495"/>
      <c r="DR82" s="495"/>
      <c r="DS82" s="495"/>
      <c r="DT82" s="495"/>
      <c r="DU82" s="495"/>
    </row>
  </sheetData>
  <sheetProtection algorithmName="SHA-512" hashValue="ckKn9SJd6A4jNAwNlWlMEBbxK7wVjpEv2eo5P8siYUPEZRn2cp3EUlKfaf3zwv6Oz5Bhz+sD+0eObWPxXpjtgw==" saltValue="ArKKTdGxrFDyvsi9jpBUGw==" spinCount="100000" sheet="1" objects="1" scenarios="1"/>
  <mergeCells count="8">
    <mergeCell ref="A81:G81"/>
    <mergeCell ref="A82:G82"/>
    <mergeCell ref="A2:D2"/>
    <mergeCell ref="A3:D3"/>
    <mergeCell ref="A75:C75"/>
    <mergeCell ref="A78:G78"/>
    <mergeCell ref="A79:G79"/>
    <mergeCell ref="A80:G80"/>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75"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D1C13-F6F2-444C-9407-8A26F78B469B}">
  <sheetPr>
    <pageSetUpPr fitToPage="1"/>
  </sheetPr>
  <dimension ref="A1:IV252"/>
  <sheetViews>
    <sheetView zoomScaleNormal="100" workbookViewId="0"/>
  </sheetViews>
  <sheetFormatPr defaultColWidth="9" defaultRowHeight="12" customHeight="1"/>
  <cols>
    <col min="1" max="1" width="4.140625" style="965" customWidth="1"/>
    <col min="2" max="2" width="4.28515625" style="966" customWidth="1"/>
    <col min="3" max="3" width="13.5703125" style="966" customWidth="1"/>
    <col min="4" max="4" width="65" style="966" customWidth="1"/>
    <col min="5" max="5" width="6.7109375" style="966" customWidth="1"/>
    <col min="6" max="6" width="8.42578125" style="967" customWidth="1"/>
    <col min="7" max="7" width="10" style="968" customWidth="1"/>
    <col min="8" max="8" width="15.7109375" style="968" customWidth="1"/>
    <col min="9" max="9" width="17" style="314" customWidth="1"/>
    <col min="10" max="10" width="19.140625" style="313" customWidth="1"/>
    <col min="11" max="11" width="11.5703125" style="313" customWidth="1"/>
    <col min="12" max="47" width="9" style="313"/>
    <col min="48" max="256" width="9" style="314"/>
    <col min="257" max="257" width="4.140625" style="314" customWidth="1"/>
    <col min="258" max="258" width="4.28515625" style="314" customWidth="1"/>
    <col min="259" max="259" width="13.5703125" style="314" customWidth="1"/>
    <col min="260" max="260" width="65" style="314" customWidth="1"/>
    <col min="261" max="261" width="6.7109375" style="314" customWidth="1"/>
    <col min="262" max="262" width="8.42578125" style="314" customWidth="1"/>
    <col min="263" max="263" width="10" style="314" customWidth="1"/>
    <col min="264" max="264" width="15.7109375" style="314" customWidth="1"/>
    <col min="265" max="265" width="17" style="314" customWidth="1"/>
    <col min="266" max="266" width="13.28515625" style="314" customWidth="1"/>
    <col min="267" max="267" width="11.5703125" style="314" customWidth="1"/>
    <col min="268" max="512" width="9" style="314"/>
    <col min="513" max="513" width="4.140625" style="314" customWidth="1"/>
    <col min="514" max="514" width="4.28515625" style="314" customWidth="1"/>
    <col min="515" max="515" width="13.5703125" style="314" customWidth="1"/>
    <col min="516" max="516" width="65" style="314" customWidth="1"/>
    <col min="517" max="517" width="6.7109375" style="314" customWidth="1"/>
    <col min="518" max="518" width="8.42578125" style="314" customWidth="1"/>
    <col min="519" max="519" width="10" style="314" customWidth="1"/>
    <col min="520" max="520" width="15.7109375" style="314" customWidth="1"/>
    <col min="521" max="521" width="17" style="314" customWidth="1"/>
    <col min="522" max="522" width="13.28515625" style="314" customWidth="1"/>
    <col min="523" max="523" width="11.5703125" style="314" customWidth="1"/>
    <col min="524" max="768" width="9" style="314"/>
    <col min="769" max="769" width="4.140625" style="314" customWidth="1"/>
    <col min="770" max="770" width="4.28515625" style="314" customWidth="1"/>
    <col min="771" max="771" width="13.5703125" style="314" customWidth="1"/>
    <col min="772" max="772" width="65" style="314" customWidth="1"/>
    <col min="773" max="773" width="6.7109375" style="314" customWidth="1"/>
    <col min="774" max="774" width="8.42578125" style="314" customWidth="1"/>
    <col min="775" max="775" width="10" style="314" customWidth="1"/>
    <col min="776" max="776" width="15.7109375" style="314" customWidth="1"/>
    <col min="777" max="777" width="17" style="314" customWidth="1"/>
    <col min="778" max="778" width="13.28515625" style="314" customWidth="1"/>
    <col min="779" max="779" width="11.5703125" style="314" customWidth="1"/>
    <col min="780" max="1024" width="9" style="314"/>
    <col min="1025" max="1025" width="4.140625" style="314" customWidth="1"/>
    <col min="1026" max="1026" width="4.28515625" style="314" customWidth="1"/>
    <col min="1027" max="1027" width="13.5703125" style="314" customWidth="1"/>
    <col min="1028" max="1028" width="65" style="314" customWidth="1"/>
    <col min="1029" max="1029" width="6.7109375" style="314" customWidth="1"/>
    <col min="1030" max="1030" width="8.42578125" style="314" customWidth="1"/>
    <col min="1031" max="1031" width="10" style="314" customWidth="1"/>
    <col min="1032" max="1032" width="15.7109375" style="314" customWidth="1"/>
    <col min="1033" max="1033" width="17" style="314" customWidth="1"/>
    <col min="1034" max="1034" width="13.28515625" style="314" customWidth="1"/>
    <col min="1035" max="1035" width="11.5703125" style="314" customWidth="1"/>
    <col min="1036" max="1280" width="9" style="314"/>
    <col min="1281" max="1281" width="4.140625" style="314" customWidth="1"/>
    <col min="1282" max="1282" width="4.28515625" style="314" customWidth="1"/>
    <col min="1283" max="1283" width="13.5703125" style="314" customWidth="1"/>
    <col min="1284" max="1284" width="65" style="314" customWidth="1"/>
    <col min="1285" max="1285" width="6.7109375" style="314" customWidth="1"/>
    <col min="1286" max="1286" width="8.42578125" style="314" customWidth="1"/>
    <col min="1287" max="1287" width="10" style="314" customWidth="1"/>
    <col min="1288" max="1288" width="15.7109375" style="314" customWidth="1"/>
    <col min="1289" max="1289" width="17" style="314" customWidth="1"/>
    <col min="1290" max="1290" width="13.28515625" style="314" customWidth="1"/>
    <col min="1291" max="1291" width="11.5703125" style="314" customWidth="1"/>
    <col min="1292" max="1536" width="9" style="314"/>
    <col min="1537" max="1537" width="4.140625" style="314" customWidth="1"/>
    <col min="1538" max="1538" width="4.28515625" style="314" customWidth="1"/>
    <col min="1539" max="1539" width="13.5703125" style="314" customWidth="1"/>
    <col min="1540" max="1540" width="65" style="314" customWidth="1"/>
    <col min="1541" max="1541" width="6.7109375" style="314" customWidth="1"/>
    <col min="1542" max="1542" width="8.42578125" style="314" customWidth="1"/>
    <col min="1543" max="1543" width="10" style="314" customWidth="1"/>
    <col min="1544" max="1544" width="15.7109375" style="314" customWidth="1"/>
    <col min="1545" max="1545" width="17" style="314" customWidth="1"/>
    <col min="1546" max="1546" width="13.28515625" style="314" customWidth="1"/>
    <col min="1547" max="1547" width="11.5703125" style="314" customWidth="1"/>
    <col min="1548" max="1792" width="9" style="314"/>
    <col min="1793" max="1793" width="4.140625" style="314" customWidth="1"/>
    <col min="1794" max="1794" width="4.28515625" style="314" customWidth="1"/>
    <col min="1795" max="1795" width="13.5703125" style="314" customWidth="1"/>
    <col min="1796" max="1796" width="65" style="314" customWidth="1"/>
    <col min="1797" max="1797" width="6.7109375" style="314" customWidth="1"/>
    <col min="1798" max="1798" width="8.42578125" style="314" customWidth="1"/>
    <col min="1799" max="1799" width="10" style="314" customWidth="1"/>
    <col min="1800" max="1800" width="15.7109375" style="314" customWidth="1"/>
    <col min="1801" max="1801" width="17" style="314" customWidth="1"/>
    <col min="1802" max="1802" width="13.28515625" style="314" customWidth="1"/>
    <col min="1803" max="1803" width="11.5703125" style="314" customWidth="1"/>
    <col min="1804" max="2048" width="9" style="314"/>
    <col min="2049" max="2049" width="4.140625" style="314" customWidth="1"/>
    <col min="2050" max="2050" width="4.28515625" style="314" customWidth="1"/>
    <col min="2051" max="2051" width="13.5703125" style="314" customWidth="1"/>
    <col min="2052" max="2052" width="65" style="314" customWidth="1"/>
    <col min="2053" max="2053" width="6.7109375" style="314" customWidth="1"/>
    <col min="2054" max="2054" width="8.42578125" style="314" customWidth="1"/>
    <col min="2055" max="2055" width="10" style="314" customWidth="1"/>
    <col min="2056" max="2056" width="15.7109375" style="314" customWidth="1"/>
    <col min="2057" max="2057" width="17" style="314" customWidth="1"/>
    <col min="2058" max="2058" width="13.28515625" style="314" customWidth="1"/>
    <col min="2059" max="2059" width="11.5703125" style="314" customWidth="1"/>
    <col min="2060" max="2304" width="9" style="314"/>
    <col min="2305" max="2305" width="4.140625" style="314" customWidth="1"/>
    <col min="2306" max="2306" width="4.28515625" style="314" customWidth="1"/>
    <col min="2307" max="2307" width="13.5703125" style="314" customWidth="1"/>
    <col min="2308" max="2308" width="65" style="314" customWidth="1"/>
    <col min="2309" max="2309" width="6.7109375" style="314" customWidth="1"/>
    <col min="2310" max="2310" width="8.42578125" style="314" customWidth="1"/>
    <col min="2311" max="2311" width="10" style="314" customWidth="1"/>
    <col min="2312" max="2312" width="15.7109375" style="314" customWidth="1"/>
    <col min="2313" max="2313" width="17" style="314" customWidth="1"/>
    <col min="2314" max="2314" width="13.28515625" style="314" customWidth="1"/>
    <col min="2315" max="2315" width="11.5703125" style="314" customWidth="1"/>
    <col min="2316" max="2560" width="9" style="314"/>
    <col min="2561" max="2561" width="4.140625" style="314" customWidth="1"/>
    <col min="2562" max="2562" width="4.28515625" style="314" customWidth="1"/>
    <col min="2563" max="2563" width="13.5703125" style="314" customWidth="1"/>
    <col min="2564" max="2564" width="65" style="314" customWidth="1"/>
    <col min="2565" max="2565" width="6.7109375" style="314" customWidth="1"/>
    <col min="2566" max="2566" width="8.42578125" style="314" customWidth="1"/>
    <col min="2567" max="2567" width="10" style="314" customWidth="1"/>
    <col min="2568" max="2568" width="15.7109375" style="314" customWidth="1"/>
    <col min="2569" max="2569" width="17" style="314" customWidth="1"/>
    <col min="2570" max="2570" width="13.28515625" style="314" customWidth="1"/>
    <col min="2571" max="2571" width="11.5703125" style="314" customWidth="1"/>
    <col min="2572" max="2816" width="9" style="314"/>
    <col min="2817" max="2817" width="4.140625" style="314" customWidth="1"/>
    <col min="2818" max="2818" width="4.28515625" style="314" customWidth="1"/>
    <col min="2819" max="2819" width="13.5703125" style="314" customWidth="1"/>
    <col min="2820" max="2820" width="65" style="314" customWidth="1"/>
    <col min="2821" max="2821" width="6.7109375" style="314" customWidth="1"/>
    <col min="2822" max="2822" width="8.42578125" style="314" customWidth="1"/>
    <col min="2823" max="2823" width="10" style="314" customWidth="1"/>
    <col min="2824" max="2824" width="15.7109375" style="314" customWidth="1"/>
    <col min="2825" max="2825" width="17" style="314" customWidth="1"/>
    <col min="2826" max="2826" width="13.28515625" style="314" customWidth="1"/>
    <col min="2827" max="2827" width="11.5703125" style="314" customWidth="1"/>
    <col min="2828" max="3072" width="9" style="314"/>
    <col min="3073" max="3073" width="4.140625" style="314" customWidth="1"/>
    <col min="3074" max="3074" width="4.28515625" style="314" customWidth="1"/>
    <col min="3075" max="3075" width="13.5703125" style="314" customWidth="1"/>
    <col min="3076" max="3076" width="65" style="314" customWidth="1"/>
    <col min="3077" max="3077" width="6.7109375" style="314" customWidth="1"/>
    <col min="3078" max="3078" width="8.42578125" style="314" customWidth="1"/>
    <col min="3079" max="3079" width="10" style="314" customWidth="1"/>
    <col min="3080" max="3080" width="15.7109375" style="314" customWidth="1"/>
    <col min="3081" max="3081" width="17" style="314" customWidth="1"/>
    <col min="3082" max="3082" width="13.28515625" style="314" customWidth="1"/>
    <col min="3083" max="3083" width="11.5703125" style="314" customWidth="1"/>
    <col min="3084" max="3328" width="9" style="314"/>
    <col min="3329" max="3329" width="4.140625" style="314" customWidth="1"/>
    <col min="3330" max="3330" width="4.28515625" style="314" customWidth="1"/>
    <col min="3331" max="3331" width="13.5703125" style="314" customWidth="1"/>
    <col min="3332" max="3332" width="65" style="314" customWidth="1"/>
    <col min="3333" max="3333" width="6.7109375" style="314" customWidth="1"/>
    <col min="3334" max="3334" width="8.42578125" style="314" customWidth="1"/>
    <col min="3335" max="3335" width="10" style="314" customWidth="1"/>
    <col min="3336" max="3336" width="15.7109375" style="314" customWidth="1"/>
    <col min="3337" max="3337" width="17" style="314" customWidth="1"/>
    <col min="3338" max="3338" width="13.28515625" style="314" customWidth="1"/>
    <col min="3339" max="3339" width="11.5703125" style="314" customWidth="1"/>
    <col min="3340" max="3584" width="9" style="314"/>
    <col min="3585" max="3585" width="4.140625" style="314" customWidth="1"/>
    <col min="3586" max="3586" width="4.28515625" style="314" customWidth="1"/>
    <col min="3587" max="3587" width="13.5703125" style="314" customWidth="1"/>
    <col min="3588" max="3588" width="65" style="314" customWidth="1"/>
    <col min="3589" max="3589" width="6.7109375" style="314" customWidth="1"/>
    <col min="3590" max="3590" width="8.42578125" style="314" customWidth="1"/>
    <col min="3591" max="3591" width="10" style="314" customWidth="1"/>
    <col min="3592" max="3592" width="15.7109375" style="314" customWidth="1"/>
    <col min="3593" max="3593" width="17" style="314" customWidth="1"/>
    <col min="3594" max="3594" width="13.28515625" style="314" customWidth="1"/>
    <col min="3595" max="3595" width="11.5703125" style="314" customWidth="1"/>
    <col min="3596" max="3840" width="9" style="314"/>
    <col min="3841" max="3841" width="4.140625" style="314" customWidth="1"/>
    <col min="3842" max="3842" width="4.28515625" style="314" customWidth="1"/>
    <col min="3843" max="3843" width="13.5703125" style="314" customWidth="1"/>
    <col min="3844" max="3844" width="65" style="314" customWidth="1"/>
    <col min="3845" max="3845" width="6.7109375" style="314" customWidth="1"/>
    <col min="3846" max="3846" width="8.42578125" style="314" customWidth="1"/>
    <col min="3847" max="3847" width="10" style="314" customWidth="1"/>
    <col min="3848" max="3848" width="15.7109375" style="314" customWidth="1"/>
    <col min="3849" max="3849" width="17" style="314" customWidth="1"/>
    <col min="3850" max="3850" width="13.28515625" style="314" customWidth="1"/>
    <col min="3851" max="3851" width="11.5703125" style="314" customWidth="1"/>
    <col min="3852" max="4096" width="9" style="314"/>
    <col min="4097" max="4097" width="4.140625" style="314" customWidth="1"/>
    <col min="4098" max="4098" width="4.28515625" style="314" customWidth="1"/>
    <col min="4099" max="4099" width="13.5703125" style="314" customWidth="1"/>
    <col min="4100" max="4100" width="65" style="314" customWidth="1"/>
    <col min="4101" max="4101" width="6.7109375" style="314" customWidth="1"/>
    <col min="4102" max="4102" width="8.42578125" style="314" customWidth="1"/>
    <col min="4103" max="4103" width="10" style="314" customWidth="1"/>
    <col min="4104" max="4104" width="15.7109375" style="314" customWidth="1"/>
    <col min="4105" max="4105" width="17" style="314" customWidth="1"/>
    <col min="4106" max="4106" width="13.28515625" style="314" customWidth="1"/>
    <col min="4107" max="4107" width="11.5703125" style="314" customWidth="1"/>
    <col min="4108" max="4352" width="9" style="314"/>
    <col min="4353" max="4353" width="4.140625" style="314" customWidth="1"/>
    <col min="4354" max="4354" width="4.28515625" style="314" customWidth="1"/>
    <col min="4355" max="4355" width="13.5703125" style="314" customWidth="1"/>
    <col min="4356" max="4356" width="65" style="314" customWidth="1"/>
    <col min="4357" max="4357" width="6.7109375" style="314" customWidth="1"/>
    <col min="4358" max="4358" width="8.42578125" style="314" customWidth="1"/>
    <col min="4359" max="4359" width="10" style="314" customWidth="1"/>
    <col min="4360" max="4360" width="15.7109375" style="314" customWidth="1"/>
    <col min="4361" max="4361" width="17" style="314" customWidth="1"/>
    <col min="4362" max="4362" width="13.28515625" style="314" customWidth="1"/>
    <col min="4363" max="4363" width="11.5703125" style="314" customWidth="1"/>
    <col min="4364" max="4608" width="9" style="314"/>
    <col min="4609" max="4609" width="4.140625" style="314" customWidth="1"/>
    <col min="4610" max="4610" width="4.28515625" style="314" customWidth="1"/>
    <col min="4611" max="4611" width="13.5703125" style="314" customWidth="1"/>
    <col min="4612" max="4612" width="65" style="314" customWidth="1"/>
    <col min="4613" max="4613" width="6.7109375" style="314" customWidth="1"/>
    <col min="4614" max="4614" width="8.42578125" style="314" customWidth="1"/>
    <col min="4615" max="4615" width="10" style="314" customWidth="1"/>
    <col min="4616" max="4616" width="15.7109375" style="314" customWidth="1"/>
    <col min="4617" max="4617" width="17" style="314" customWidth="1"/>
    <col min="4618" max="4618" width="13.28515625" style="314" customWidth="1"/>
    <col min="4619" max="4619" width="11.5703125" style="314" customWidth="1"/>
    <col min="4620" max="4864" width="9" style="314"/>
    <col min="4865" max="4865" width="4.140625" style="314" customWidth="1"/>
    <col min="4866" max="4866" width="4.28515625" style="314" customWidth="1"/>
    <col min="4867" max="4867" width="13.5703125" style="314" customWidth="1"/>
    <col min="4868" max="4868" width="65" style="314" customWidth="1"/>
    <col min="4869" max="4869" width="6.7109375" style="314" customWidth="1"/>
    <col min="4870" max="4870" width="8.42578125" style="314" customWidth="1"/>
    <col min="4871" max="4871" width="10" style="314" customWidth="1"/>
    <col min="4872" max="4872" width="15.7109375" style="314" customWidth="1"/>
    <col min="4873" max="4873" width="17" style="314" customWidth="1"/>
    <col min="4874" max="4874" width="13.28515625" style="314" customWidth="1"/>
    <col min="4875" max="4875" width="11.5703125" style="314" customWidth="1"/>
    <col min="4876" max="5120" width="9" style="314"/>
    <col min="5121" max="5121" width="4.140625" style="314" customWidth="1"/>
    <col min="5122" max="5122" width="4.28515625" style="314" customWidth="1"/>
    <col min="5123" max="5123" width="13.5703125" style="314" customWidth="1"/>
    <col min="5124" max="5124" width="65" style="314" customWidth="1"/>
    <col min="5125" max="5125" width="6.7109375" style="314" customWidth="1"/>
    <col min="5126" max="5126" width="8.42578125" style="314" customWidth="1"/>
    <col min="5127" max="5127" width="10" style="314" customWidth="1"/>
    <col min="5128" max="5128" width="15.7109375" style="314" customWidth="1"/>
    <col min="5129" max="5129" width="17" style="314" customWidth="1"/>
    <col min="5130" max="5130" width="13.28515625" style="314" customWidth="1"/>
    <col min="5131" max="5131" width="11.5703125" style="314" customWidth="1"/>
    <col min="5132" max="5376" width="9" style="314"/>
    <col min="5377" max="5377" width="4.140625" style="314" customWidth="1"/>
    <col min="5378" max="5378" width="4.28515625" style="314" customWidth="1"/>
    <col min="5379" max="5379" width="13.5703125" style="314" customWidth="1"/>
    <col min="5380" max="5380" width="65" style="314" customWidth="1"/>
    <col min="5381" max="5381" width="6.7109375" style="314" customWidth="1"/>
    <col min="5382" max="5382" width="8.42578125" style="314" customWidth="1"/>
    <col min="5383" max="5383" width="10" style="314" customWidth="1"/>
    <col min="5384" max="5384" width="15.7109375" style="314" customWidth="1"/>
    <col min="5385" max="5385" width="17" style="314" customWidth="1"/>
    <col min="5386" max="5386" width="13.28515625" style="314" customWidth="1"/>
    <col min="5387" max="5387" width="11.5703125" style="314" customWidth="1"/>
    <col min="5388" max="5632" width="9" style="314"/>
    <col min="5633" max="5633" width="4.140625" style="314" customWidth="1"/>
    <col min="5634" max="5634" width="4.28515625" style="314" customWidth="1"/>
    <col min="5635" max="5635" width="13.5703125" style="314" customWidth="1"/>
    <col min="5636" max="5636" width="65" style="314" customWidth="1"/>
    <col min="5637" max="5637" width="6.7109375" style="314" customWidth="1"/>
    <col min="5638" max="5638" width="8.42578125" style="314" customWidth="1"/>
    <col min="5639" max="5639" width="10" style="314" customWidth="1"/>
    <col min="5640" max="5640" width="15.7109375" style="314" customWidth="1"/>
    <col min="5641" max="5641" width="17" style="314" customWidth="1"/>
    <col min="5642" max="5642" width="13.28515625" style="314" customWidth="1"/>
    <col min="5643" max="5643" width="11.5703125" style="314" customWidth="1"/>
    <col min="5644" max="5888" width="9" style="314"/>
    <col min="5889" max="5889" width="4.140625" style="314" customWidth="1"/>
    <col min="5890" max="5890" width="4.28515625" style="314" customWidth="1"/>
    <col min="5891" max="5891" width="13.5703125" style="314" customWidth="1"/>
    <col min="5892" max="5892" width="65" style="314" customWidth="1"/>
    <col min="5893" max="5893" width="6.7109375" style="314" customWidth="1"/>
    <col min="5894" max="5894" width="8.42578125" style="314" customWidth="1"/>
    <col min="5895" max="5895" width="10" style="314" customWidth="1"/>
    <col min="5896" max="5896" width="15.7109375" style="314" customWidth="1"/>
    <col min="5897" max="5897" width="17" style="314" customWidth="1"/>
    <col min="5898" max="5898" width="13.28515625" style="314" customWidth="1"/>
    <col min="5899" max="5899" width="11.5703125" style="314" customWidth="1"/>
    <col min="5900" max="6144" width="9" style="314"/>
    <col min="6145" max="6145" width="4.140625" style="314" customWidth="1"/>
    <col min="6146" max="6146" width="4.28515625" style="314" customWidth="1"/>
    <col min="6147" max="6147" width="13.5703125" style="314" customWidth="1"/>
    <col min="6148" max="6148" width="65" style="314" customWidth="1"/>
    <col min="6149" max="6149" width="6.7109375" style="314" customWidth="1"/>
    <col min="6150" max="6150" width="8.42578125" style="314" customWidth="1"/>
    <col min="6151" max="6151" width="10" style="314" customWidth="1"/>
    <col min="6152" max="6152" width="15.7109375" style="314" customWidth="1"/>
    <col min="6153" max="6153" width="17" style="314" customWidth="1"/>
    <col min="6154" max="6154" width="13.28515625" style="314" customWidth="1"/>
    <col min="6155" max="6155" width="11.5703125" style="314" customWidth="1"/>
    <col min="6156" max="6400" width="9" style="314"/>
    <col min="6401" max="6401" width="4.140625" style="314" customWidth="1"/>
    <col min="6402" max="6402" width="4.28515625" style="314" customWidth="1"/>
    <col min="6403" max="6403" width="13.5703125" style="314" customWidth="1"/>
    <col min="6404" max="6404" width="65" style="314" customWidth="1"/>
    <col min="6405" max="6405" width="6.7109375" style="314" customWidth="1"/>
    <col min="6406" max="6406" width="8.42578125" style="314" customWidth="1"/>
    <col min="6407" max="6407" width="10" style="314" customWidth="1"/>
    <col min="6408" max="6408" width="15.7109375" style="314" customWidth="1"/>
    <col min="6409" max="6409" width="17" style="314" customWidth="1"/>
    <col min="6410" max="6410" width="13.28515625" style="314" customWidth="1"/>
    <col min="6411" max="6411" width="11.5703125" style="314" customWidth="1"/>
    <col min="6412" max="6656" width="9" style="314"/>
    <col min="6657" max="6657" width="4.140625" style="314" customWidth="1"/>
    <col min="6658" max="6658" width="4.28515625" style="314" customWidth="1"/>
    <col min="6659" max="6659" width="13.5703125" style="314" customWidth="1"/>
    <col min="6660" max="6660" width="65" style="314" customWidth="1"/>
    <col min="6661" max="6661" width="6.7109375" style="314" customWidth="1"/>
    <col min="6662" max="6662" width="8.42578125" style="314" customWidth="1"/>
    <col min="6663" max="6663" width="10" style="314" customWidth="1"/>
    <col min="6664" max="6664" width="15.7109375" style="314" customWidth="1"/>
    <col min="6665" max="6665" width="17" style="314" customWidth="1"/>
    <col min="6666" max="6666" width="13.28515625" style="314" customWidth="1"/>
    <col min="6667" max="6667" width="11.5703125" style="314" customWidth="1"/>
    <col min="6668" max="6912" width="9" style="314"/>
    <col min="6913" max="6913" width="4.140625" style="314" customWidth="1"/>
    <col min="6914" max="6914" width="4.28515625" style="314" customWidth="1"/>
    <col min="6915" max="6915" width="13.5703125" style="314" customWidth="1"/>
    <col min="6916" max="6916" width="65" style="314" customWidth="1"/>
    <col min="6917" max="6917" width="6.7109375" style="314" customWidth="1"/>
    <col min="6918" max="6918" width="8.42578125" style="314" customWidth="1"/>
    <col min="6919" max="6919" width="10" style="314" customWidth="1"/>
    <col min="6920" max="6920" width="15.7109375" style="314" customWidth="1"/>
    <col min="6921" max="6921" width="17" style="314" customWidth="1"/>
    <col min="6922" max="6922" width="13.28515625" style="314" customWidth="1"/>
    <col min="6923" max="6923" width="11.5703125" style="314" customWidth="1"/>
    <col min="6924" max="7168" width="9" style="314"/>
    <col min="7169" max="7169" width="4.140625" style="314" customWidth="1"/>
    <col min="7170" max="7170" width="4.28515625" style="314" customWidth="1"/>
    <col min="7171" max="7171" width="13.5703125" style="314" customWidth="1"/>
    <col min="7172" max="7172" width="65" style="314" customWidth="1"/>
    <col min="7173" max="7173" width="6.7109375" style="314" customWidth="1"/>
    <col min="7174" max="7174" width="8.42578125" style="314" customWidth="1"/>
    <col min="7175" max="7175" width="10" style="314" customWidth="1"/>
    <col min="7176" max="7176" width="15.7109375" style="314" customWidth="1"/>
    <col min="7177" max="7177" width="17" style="314" customWidth="1"/>
    <col min="7178" max="7178" width="13.28515625" style="314" customWidth="1"/>
    <col min="7179" max="7179" width="11.5703125" style="314" customWidth="1"/>
    <col min="7180" max="7424" width="9" style="314"/>
    <col min="7425" max="7425" width="4.140625" style="314" customWidth="1"/>
    <col min="7426" max="7426" width="4.28515625" style="314" customWidth="1"/>
    <col min="7427" max="7427" width="13.5703125" style="314" customWidth="1"/>
    <col min="7428" max="7428" width="65" style="314" customWidth="1"/>
    <col min="7429" max="7429" width="6.7109375" style="314" customWidth="1"/>
    <col min="7430" max="7430" width="8.42578125" style="314" customWidth="1"/>
    <col min="7431" max="7431" width="10" style="314" customWidth="1"/>
    <col min="7432" max="7432" width="15.7109375" style="314" customWidth="1"/>
    <col min="7433" max="7433" width="17" style="314" customWidth="1"/>
    <col min="7434" max="7434" width="13.28515625" style="314" customWidth="1"/>
    <col min="7435" max="7435" width="11.5703125" style="314" customWidth="1"/>
    <col min="7436" max="7680" width="9" style="314"/>
    <col min="7681" max="7681" width="4.140625" style="314" customWidth="1"/>
    <col min="7682" max="7682" width="4.28515625" style="314" customWidth="1"/>
    <col min="7683" max="7683" width="13.5703125" style="314" customWidth="1"/>
    <col min="7684" max="7684" width="65" style="314" customWidth="1"/>
    <col min="7685" max="7685" width="6.7109375" style="314" customWidth="1"/>
    <col min="7686" max="7686" width="8.42578125" style="314" customWidth="1"/>
    <col min="7687" max="7687" width="10" style="314" customWidth="1"/>
    <col min="7688" max="7688" width="15.7109375" style="314" customWidth="1"/>
    <col min="7689" max="7689" width="17" style="314" customWidth="1"/>
    <col min="7690" max="7690" width="13.28515625" style="314" customWidth="1"/>
    <col min="7691" max="7691" width="11.5703125" style="314" customWidth="1"/>
    <col min="7692" max="7936" width="9" style="314"/>
    <col min="7937" max="7937" width="4.140625" style="314" customWidth="1"/>
    <col min="7938" max="7938" width="4.28515625" style="314" customWidth="1"/>
    <col min="7939" max="7939" width="13.5703125" style="314" customWidth="1"/>
    <col min="7940" max="7940" width="65" style="314" customWidth="1"/>
    <col min="7941" max="7941" width="6.7109375" style="314" customWidth="1"/>
    <col min="7942" max="7942" width="8.42578125" style="314" customWidth="1"/>
    <col min="7943" max="7943" width="10" style="314" customWidth="1"/>
    <col min="7944" max="7944" width="15.7109375" style="314" customWidth="1"/>
    <col min="7945" max="7945" width="17" style="314" customWidth="1"/>
    <col min="7946" max="7946" width="13.28515625" style="314" customWidth="1"/>
    <col min="7947" max="7947" width="11.5703125" style="314" customWidth="1"/>
    <col min="7948" max="8192" width="9" style="314"/>
    <col min="8193" max="8193" width="4.140625" style="314" customWidth="1"/>
    <col min="8194" max="8194" width="4.28515625" style="314" customWidth="1"/>
    <col min="8195" max="8195" width="13.5703125" style="314" customWidth="1"/>
    <col min="8196" max="8196" width="65" style="314" customWidth="1"/>
    <col min="8197" max="8197" width="6.7109375" style="314" customWidth="1"/>
    <col min="8198" max="8198" width="8.42578125" style="314" customWidth="1"/>
    <col min="8199" max="8199" width="10" style="314" customWidth="1"/>
    <col min="8200" max="8200" width="15.7109375" style="314" customWidth="1"/>
    <col min="8201" max="8201" width="17" style="314" customWidth="1"/>
    <col min="8202" max="8202" width="13.28515625" style="314" customWidth="1"/>
    <col min="8203" max="8203" width="11.5703125" style="314" customWidth="1"/>
    <col min="8204" max="8448" width="9" style="314"/>
    <col min="8449" max="8449" width="4.140625" style="314" customWidth="1"/>
    <col min="8450" max="8450" width="4.28515625" style="314" customWidth="1"/>
    <col min="8451" max="8451" width="13.5703125" style="314" customWidth="1"/>
    <col min="8452" max="8452" width="65" style="314" customWidth="1"/>
    <col min="8453" max="8453" width="6.7109375" style="314" customWidth="1"/>
    <col min="8454" max="8454" width="8.42578125" style="314" customWidth="1"/>
    <col min="8455" max="8455" width="10" style="314" customWidth="1"/>
    <col min="8456" max="8456" width="15.7109375" style="314" customWidth="1"/>
    <col min="8457" max="8457" width="17" style="314" customWidth="1"/>
    <col min="8458" max="8458" width="13.28515625" style="314" customWidth="1"/>
    <col min="8459" max="8459" width="11.5703125" style="314" customWidth="1"/>
    <col min="8460" max="8704" width="9" style="314"/>
    <col min="8705" max="8705" width="4.140625" style="314" customWidth="1"/>
    <col min="8706" max="8706" width="4.28515625" style="314" customWidth="1"/>
    <col min="8707" max="8707" width="13.5703125" style="314" customWidth="1"/>
    <col min="8708" max="8708" width="65" style="314" customWidth="1"/>
    <col min="8709" max="8709" width="6.7109375" style="314" customWidth="1"/>
    <col min="8710" max="8710" width="8.42578125" style="314" customWidth="1"/>
    <col min="8711" max="8711" width="10" style="314" customWidth="1"/>
    <col min="8712" max="8712" width="15.7109375" style="314" customWidth="1"/>
    <col min="8713" max="8713" width="17" style="314" customWidth="1"/>
    <col min="8714" max="8714" width="13.28515625" style="314" customWidth="1"/>
    <col min="8715" max="8715" width="11.5703125" style="314" customWidth="1"/>
    <col min="8716" max="8960" width="9" style="314"/>
    <col min="8961" max="8961" width="4.140625" style="314" customWidth="1"/>
    <col min="8962" max="8962" width="4.28515625" style="314" customWidth="1"/>
    <col min="8963" max="8963" width="13.5703125" style="314" customWidth="1"/>
    <col min="8964" max="8964" width="65" style="314" customWidth="1"/>
    <col min="8965" max="8965" width="6.7109375" style="314" customWidth="1"/>
    <col min="8966" max="8966" width="8.42578125" style="314" customWidth="1"/>
    <col min="8967" max="8967" width="10" style="314" customWidth="1"/>
    <col min="8968" max="8968" width="15.7109375" style="314" customWidth="1"/>
    <col min="8969" max="8969" width="17" style="314" customWidth="1"/>
    <col min="8970" max="8970" width="13.28515625" style="314" customWidth="1"/>
    <col min="8971" max="8971" width="11.5703125" style="314" customWidth="1"/>
    <col min="8972" max="9216" width="9" style="314"/>
    <col min="9217" max="9217" width="4.140625" style="314" customWidth="1"/>
    <col min="9218" max="9218" width="4.28515625" style="314" customWidth="1"/>
    <col min="9219" max="9219" width="13.5703125" style="314" customWidth="1"/>
    <col min="9220" max="9220" width="65" style="314" customWidth="1"/>
    <col min="9221" max="9221" width="6.7109375" style="314" customWidth="1"/>
    <col min="9222" max="9222" width="8.42578125" style="314" customWidth="1"/>
    <col min="9223" max="9223" width="10" style="314" customWidth="1"/>
    <col min="9224" max="9224" width="15.7109375" style="314" customWidth="1"/>
    <col min="9225" max="9225" width="17" style="314" customWidth="1"/>
    <col min="9226" max="9226" width="13.28515625" style="314" customWidth="1"/>
    <col min="9227" max="9227" width="11.5703125" style="314" customWidth="1"/>
    <col min="9228" max="9472" width="9" style="314"/>
    <col min="9473" max="9473" width="4.140625" style="314" customWidth="1"/>
    <col min="9474" max="9474" width="4.28515625" style="314" customWidth="1"/>
    <col min="9475" max="9475" width="13.5703125" style="314" customWidth="1"/>
    <col min="9476" max="9476" width="65" style="314" customWidth="1"/>
    <col min="9477" max="9477" width="6.7109375" style="314" customWidth="1"/>
    <col min="9478" max="9478" width="8.42578125" style="314" customWidth="1"/>
    <col min="9479" max="9479" width="10" style="314" customWidth="1"/>
    <col min="9480" max="9480" width="15.7109375" style="314" customWidth="1"/>
    <col min="9481" max="9481" width="17" style="314" customWidth="1"/>
    <col min="9482" max="9482" width="13.28515625" style="314" customWidth="1"/>
    <col min="9483" max="9483" width="11.5703125" style="314" customWidth="1"/>
    <col min="9484" max="9728" width="9" style="314"/>
    <col min="9729" max="9729" width="4.140625" style="314" customWidth="1"/>
    <col min="9730" max="9730" width="4.28515625" style="314" customWidth="1"/>
    <col min="9731" max="9731" width="13.5703125" style="314" customWidth="1"/>
    <col min="9732" max="9732" width="65" style="314" customWidth="1"/>
    <col min="9733" max="9733" width="6.7109375" style="314" customWidth="1"/>
    <col min="9734" max="9734" width="8.42578125" style="314" customWidth="1"/>
    <col min="9735" max="9735" width="10" style="314" customWidth="1"/>
    <col min="9736" max="9736" width="15.7109375" style="314" customWidth="1"/>
    <col min="9737" max="9737" width="17" style="314" customWidth="1"/>
    <col min="9738" max="9738" width="13.28515625" style="314" customWidth="1"/>
    <col min="9739" max="9739" width="11.5703125" style="314" customWidth="1"/>
    <col min="9740" max="9984" width="9" style="314"/>
    <col min="9985" max="9985" width="4.140625" style="314" customWidth="1"/>
    <col min="9986" max="9986" width="4.28515625" style="314" customWidth="1"/>
    <col min="9987" max="9987" width="13.5703125" style="314" customWidth="1"/>
    <col min="9988" max="9988" width="65" style="314" customWidth="1"/>
    <col min="9989" max="9989" width="6.7109375" style="314" customWidth="1"/>
    <col min="9990" max="9990" width="8.42578125" style="314" customWidth="1"/>
    <col min="9991" max="9991" width="10" style="314" customWidth="1"/>
    <col min="9992" max="9992" width="15.7109375" style="314" customWidth="1"/>
    <col min="9993" max="9993" width="17" style="314" customWidth="1"/>
    <col min="9994" max="9994" width="13.28515625" style="314" customWidth="1"/>
    <col min="9995" max="9995" width="11.5703125" style="314" customWidth="1"/>
    <col min="9996" max="10240" width="9" style="314"/>
    <col min="10241" max="10241" width="4.140625" style="314" customWidth="1"/>
    <col min="10242" max="10242" width="4.28515625" style="314" customWidth="1"/>
    <col min="10243" max="10243" width="13.5703125" style="314" customWidth="1"/>
    <col min="10244" max="10244" width="65" style="314" customWidth="1"/>
    <col min="10245" max="10245" width="6.7109375" style="314" customWidth="1"/>
    <col min="10246" max="10246" width="8.42578125" style="314" customWidth="1"/>
    <col min="10247" max="10247" width="10" style="314" customWidth="1"/>
    <col min="10248" max="10248" width="15.7109375" style="314" customWidth="1"/>
    <col min="10249" max="10249" width="17" style="314" customWidth="1"/>
    <col min="10250" max="10250" width="13.28515625" style="314" customWidth="1"/>
    <col min="10251" max="10251" width="11.5703125" style="314" customWidth="1"/>
    <col min="10252" max="10496" width="9" style="314"/>
    <col min="10497" max="10497" width="4.140625" style="314" customWidth="1"/>
    <col min="10498" max="10498" width="4.28515625" style="314" customWidth="1"/>
    <col min="10499" max="10499" width="13.5703125" style="314" customWidth="1"/>
    <col min="10500" max="10500" width="65" style="314" customWidth="1"/>
    <col min="10501" max="10501" width="6.7109375" style="314" customWidth="1"/>
    <col min="10502" max="10502" width="8.42578125" style="314" customWidth="1"/>
    <col min="10503" max="10503" width="10" style="314" customWidth="1"/>
    <col min="10504" max="10504" width="15.7109375" style="314" customWidth="1"/>
    <col min="10505" max="10505" width="17" style="314" customWidth="1"/>
    <col min="10506" max="10506" width="13.28515625" style="314" customWidth="1"/>
    <col min="10507" max="10507" width="11.5703125" style="314" customWidth="1"/>
    <col min="10508" max="10752" width="9" style="314"/>
    <col min="10753" max="10753" width="4.140625" style="314" customWidth="1"/>
    <col min="10754" max="10754" width="4.28515625" style="314" customWidth="1"/>
    <col min="10755" max="10755" width="13.5703125" style="314" customWidth="1"/>
    <col min="10756" max="10756" width="65" style="314" customWidth="1"/>
    <col min="10757" max="10757" width="6.7109375" style="314" customWidth="1"/>
    <col min="10758" max="10758" width="8.42578125" style="314" customWidth="1"/>
    <col min="10759" max="10759" width="10" style="314" customWidth="1"/>
    <col min="10760" max="10760" width="15.7109375" style="314" customWidth="1"/>
    <col min="10761" max="10761" width="17" style="314" customWidth="1"/>
    <col min="10762" max="10762" width="13.28515625" style="314" customWidth="1"/>
    <col min="10763" max="10763" width="11.5703125" style="314" customWidth="1"/>
    <col min="10764" max="11008" width="9" style="314"/>
    <col min="11009" max="11009" width="4.140625" style="314" customWidth="1"/>
    <col min="11010" max="11010" width="4.28515625" style="314" customWidth="1"/>
    <col min="11011" max="11011" width="13.5703125" style="314" customWidth="1"/>
    <col min="11012" max="11012" width="65" style="314" customWidth="1"/>
    <col min="11013" max="11013" width="6.7109375" style="314" customWidth="1"/>
    <col min="11014" max="11014" width="8.42578125" style="314" customWidth="1"/>
    <col min="11015" max="11015" width="10" style="314" customWidth="1"/>
    <col min="11016" max="11016" width="15.7109375" style="314" customWidth="1"/>
    <col min="11017" max="11017" width="17" style="314" customWidth="1"/>
    <col min="11018" max="11018" width="13.28515625" style="314" customWidth="1"/>
    <col min="11019" max="11019" width="11.5703125" style="314" customWidth="1"/>
    <col min="11020" max="11264" width="9" style="314"/>
    <col min="11265" max="11265" width="4.140625" style="314" customWidth="1"/>
    <col min="11266" max="11266" width="4.28515625" style="314" customWidth="1"/>
    <col min="11267" max="11267" width="13.5703125" style="314" customWidth="1"/>
    <col min="11268" max="11268" width="65" style="314" customWidth="1"/>
    <col min="11269" max="11269" width="6.7109375" style="314" customWidth="1"/>
    <col min="11270" max="11270" width="8.42578125" style="314" customWidth="1"/>
    <col min="11271" max="11271" width="10" style="314" customWidth="1"/>
    <col min="11272" max="11272" width="15.7109375" style="314" customWidth="1"/>
    <col min="11273" max="11273" width="17" style="314" customWidth="1"/>
    <col min="11274" max="11274" width="13.28515625" style="314" customWidth="1"/>
    <col min="11275" max="11275" width="11.5703125" style="314" customWidth="1"/>
    <col min="11276" max="11520" width="9" style="314"/>
    <col min="11521" max="11521" width="4.140625" style="314" customWidth="1"/>
    <col min="11522" max="11522" width="4.28515625" style="314" customWidth="1"/>
    <col min="11523" max="11523" width="13.5703125" style="314" customWidth="1"/>
    <col min="11524" max="11524" width="65" style="314" customWidth="1"/>
    <col min="11525" max="11525" width="6.7109375" style="314" customWidth="1"/>
    <col min="11526" max="11526" width="8.42578125" style="314" customWidth="1"/>
    <col min="11527" max="11527" width="10" style="314" customWidth="1"/>
    <col min="11528" max="11528" width="15.7109375" style="314" customWidth="1"/>
    <col min="11529" max="11529" width="17" style="314" customWidth="1"/>
    <col min="11530" max="11530" width="13.28515625" style="314" customWidth="1"/>
    <col min="11531" max="11531" width="11.5703125" style="314" customWidth="1"/>
    <col min="11532" max="11776" width="9" style="314"/>
    <col min="11777" max="11777" width="4.140625" style="314" customWidth="1"/>
    <col min="11778" max="11778" width="4.28515625" style="314" customWidth="1"/>
    <col min="11779" max="11779" width="13.5703125" style="314" customWidth="1"/>
    <col min="11780" max="11780" width="65" style="314" customWidth="1"/>
    <col min="11781" max="11781" width="6.7109375" style="314" customWidth="1"/>
    <col min="11782" max="11782" width="8.42578125" style="314" customWidth="1"/>
    <col min="11783" max="11783" width="10" style="314" customWidth="1"/>
    <col min="11784" max="11784" width="15.7109375" style="314" customWidth="1"/>
    <col min="11785" max="11785" width="17" style="314" customWidth="1"/>
    <col min="11786" max="11786" width="13.28515625" style="314" customWidth="1"/>
    <col min="11787" max="11787" width="11.5703125" style="314" customWidth="1"/>
    <col min="11788" max="12032" width="9" style="314"/>
    <col min="12033" max="12033" width="4.140625" style="314" customWidth="1"/>
    <col min="12034" max="12034" width="4.28515625" style="314" customWidth="1"/>
    <col min="12035" max="12035" width="13.5703125" style="314" customWidth="1"/>
    <col min="12036" max="12036" width="65" style="314" customWidth="1"/>
    <col min="12037" max="12037" width="6.7109375" style="314" customWidth="1"/>
    <col min="12038" max="12038" width="8.42578125" style="314" customWidth="1"/>
    <col min="12039" max="12039" width="10" style="314" customWidth="1"/>
    <col min="12040" max="12040" width="15.7109375" style="314" customWidth="1"/>
    <col min="12041" max="12041" width="17" style="314" customWidth="1"/>
    <col min="12042" max="12042" width="13.28515625" style="314" customWidth="1"/>
    <col min="12043" max="12043" width="11.5703125" style="314" customWidth="1"/>
    <col min="12044" max="12288" width="9" style="314"/>
    <col min="12289" max="12289" width="4.140625" style="314" customWidth="1"/>
    <col min="12290" max="12290" width="4.28515625" style="314" customWidth="1"/>
    <col min="12291" max="12291" width="13.5703125" style="314" customWidth="1"/>
    <col min="12292" max="12292" width="65" style="314" customWidth="1"/>
    <col min="12293" max="12293" width="6.7109375" style="314" customWidth="1"/>
    <col min="12294" max="12294" width="8.42578125" style="314" customWidth="1"/>
    <col min="12295" max="12295" width="10" style="314" customWidth="1"/>
    <col min="12296" max="12296" width="15.7109375" style="314" customWidth="1"/>
    <col min="12297" max="12297" width="17" style="314" customWidth="1"/>
    <col min="12298" max="12298" width="13.28515625" style="314" customWidth="1"/>
    <col min="12299" max="12299" width="11.5703125" style="314" customWidth="1"/>
    <col min="12300" max="12544" width="9" style="314"/>
    <col min="12545" max="12545" width="4.140625" style="314" customWidth="1"/>
    <col min="12546" max="12546" width="4.28515625" style="314" customWidth="1"/>
    <col min="12547" max="12547" width="13.5703125" style="314" customWidth="1"/>
    <col min="12548" max="12548" width="65" style="314" customWidth="1"/>
    <col min="12549" max="12549" width="6.7109375" style="314" customWidth="1"/>
    <col min="12550" max="12550" width="8.42578125" style="314" customWidth="1"/>
    <col min="12551" max="12551" width="10" style="314" customWidth="1"/>
    <col min="12552" max="12552" width="15.7109375" style="314" customWidth="1"/>
    <col min="12553" max="12553" width="17" style="314" customWidth="1"/>
    <col min="12554" max="12554" width="13.28515625" style="314" customWidth="1"/>
    <col min="12555" max="12555" width="11.5703125" style="314" customWidth="1"/>
    <col min="12556" max="12800" width="9" style="314"/>
    <col min="12801" max="12801" width="4.140625" style="314" customWidth="1"/>
    <col min="12802" max="12802" width="4.28515625" style="314" customWidth="1"/>
    <col min="12803" max="12803" width="13.5703125" style="314" customWidth="1"/>
    <col min="12804" max="12804" width="65" style="314" customWidth="1"/>
    <col min="12805" max="12805" width="6.7109375" style="314" customWidth="1"/>
    <col min="12806" max="12806" width="8.42578125" style="314" customWidth="1"/>
    <col min="12807" max="12807" width="10" style="314" customWidth="1"/>
    <col min="12808" max="12808" width="15.7109375" style="314" customWidth="1"/>
    <col min="12809" max="12809" width="17" style="314" customWidth="1"/>
    <col min="12810" max="12810" width="13.28515625" style="314" customWidth="1"/>
    <col min="12811" max="12811" width="11.5703125" style="314" customWidth="1"/>
    <col min="12812" max="13056" width="9" style="314"/>
    <col min="13057" max="13057" width="4.140625" style="314" customWidth="1"/>
    <col min="13058" max="13058" width="4.28515625" style="314" customWidth="1"/>
    <col min="13059" max="13059" width="13.5703125" style="314" customWidth="1"/>
    <col min="13060" max="13060" width="65" style="314" customWidth="1"/>
    <col min="13061" max="13061" width="6.7109375" style="314" customWidth="1"/>
    <col min="13062" max="13062" width="8.42578125" style="314" customWidth="1"/>
    <col min="13063" max="13063" width="10" style="314" customWidth="1"/>
    <col min="13064" max="13064" width="15.7109375" style="314" customWidth="1"/>
    <col min="13065" max="13065" width="17" style="314" customWidth="1"/>
    <col min="13066" max="13066" width="13.28515625" style="314" customWidth="1"/>
    <col min="13067" max="13067" width="11.5703125" style="314" customWidth="1"/>
    <col min="13068" max="13312" width="9" style="314"/>
    <col min="13313" max="13313" width="4.140625" style="314" customWidth="1"/>
    <col min="13314" max="13314" width="4.28515625" style="314" customWidth="1"/>
    <col min="13315" max="13315" width="13.5703125" style="314" customWidth="1"/>
    <col min="13316" max="13316" width="65" style="314" customWidth="1"/>
    <col min="13317" max="13317" width="6.7109375" style="314" customWidth="1"/>
    <col min="13318" max="13318" width="8.42578125" style="314" customWidth="1"/>
    <col min="13319" max="13319" width="10" style="314" customWidth="1"/>
    <col min="13320" max="13320" width="15.7109375" style="314" customWidth="1"/>
    <col min="13321" max="13321" width="17" style="314" customWidth="1"/>
    <col min="13322" max="13322" width="13.28515625" style="314" customWidth="1"/>
    <col min="13323" max="13323" width="11.5703125" style="314" customWidth="1"/>
    <col min="13324" max="13568" width="9" style="314"/>
    <col min="13569" max="13569" width="4.140625" style="314" customWidth="1"/>
    <col min="13570" max="13570" width="4.28515625" style="314" customWidth="1"/>
    <col min="13571" max="13571" width="13.5703125" style="314" customWidth="1"/>
    <col min="13572" max="13572" width="65" style="314" customWidth="1"/>
    <col min="13573" max="13573" width="6.7109375" style="314" customWidth="1"/>
    <col min="13574" max="13574" width="8.42578125" style="314" customWidth="1"/>
    <col min="13575" max="13575" width="10" style="314" customWidth="1"/>
    <col min="13576" max="13576" width="15.7109375" style="314" customWidth="1"/>
    <col min="13577" max="13577" width="17" style="314" customWidth="1"/>
    <col min="13578" max="13578" width="13.28515625" style="314" customWidth="1"/>
    <col min="13579" max="13579" width="11.5703125" style="314" customWidth="1"/>
    <col min="13580" max="13824" width="9" style="314"/>
    <col min="13825" max="13825" width="4.140625" style="314" customWidth="1"/>
    <col min="13826" max="13826" width="4.28515625" style="314" customWidth="1"/>
    <col min="13827" max="13827" width="13.5703125" style="314" customWidth="1"/>
    <col min="13828" max="13828" width="65" style="314" customWidth="1"/>
    <col min="13829" max="13829" width="6.7109375" style="314" customWidth="1"/>
    <col min="13830" max="13830" width="8.42578125" style="314" customWidth="1"/>
    <col min="13831" max="13831" width="10" style="314" customWidth="1"/>
    <col min="13832" max="13832" width="15.7109375" style="314" customWidth="1"/>
    <col min="13833" max="13833" width="17" style="314" customWidth="1"/>
    <col min="13834" max="13834" width="13.28515625" style="314" customWidth="1"/>
    <col min="13835" max="13835" width="11.5703125" style="314" customWidth="1"/>
    <col min="13836" max="14080" width="9" style="314"/>
    <col min="14081" max="14081" width="4.140625" style="314" customWidth="1"/>
    <col min="14082" max="14082" width="4.28515625" style="314" customWidth="1"/>
    <col min="14083" max="14083" width="13.5703125" style="314" customWidth="1"/>
    <col min="14084" max="14084" width="65" style="314" customWidth="1"/>
    <col min="14085" max="14085" width="6.7109375" style="314" customWidth="1"/>
    <col min="14086" max="14086" width="8.42578125" style="314" customWidth="1"/>
    <col min="14087" max="14087" width="10" style="314" customWidth="1"/>
    <col min="14088" max="14088" width="15.7109375" style="314" customWidth="1"/>
    <col min="14089" max="14089" width="17" style="314" customWidth="1"/>
    <col min="14090" max="14090" width="13.28515625" style="314" customWidth="1"/>
    <col min="14091" max="14091" width="11.5703125" style="314" customWidth="1"/>
    <col min="14092" max="14336" width="9" style="314"/>
    <col min="14337" max="14337" width="4.140625" style="314" customWidth="1"/>
    <col min="14338" max="14338" width="4.28515625" style="314" customWidth="1"/>
    <col min="14339" max="14339" width="13.5703125" style="314" customWidth="1"/>
    <col min="14340" max="14340" width="65" style="314" customWidth="1"/>
    <col min="14341" max="14341" width="6.7109375" style="314" customWidth="1"/>
    <col min="14342" max="14342" width="8.42578125" style="314" customWidth="1"/>
    <col min="14343" max="14343" width="10" style="314" customWidth="1"/>
    <col min="14344" max="14344" width="15.7109375" style="314" customWidth="1"/>
    <col min="14345" max="14345" width="17" style="314" customWidth="1"/>
    <col min="14346" max="14346" width="13.28515625" style="314" customWidth="1"/>
    <col min="14347" max="14347" width="11.5703125" style="314" customWidth="1"/>
    <col min="14348" max="14592" width="9" style="314"/>
    <col min="14593" max="14593" width="4.140625" style="314" customWidth="1"/>
    <col min="14594" max="14594" width="4.28515625" style="314" customWidth="1"/>
    <col min="14595" max="14595" width="13.5703125" style="314" customWidth="1"/>
    <col min="14596" max="14596" width="65" style="314" customWidth="1"/>
    <col min="14597" max="14597" width="6.7109375" style="314" customWidth="1"/>
    <col min="14598" max="14598" width="8.42578125" style="314" customWidth="1"/>
    <col min="14599" max="14599" width="10" style="314" customWidth="1"/>
    <col min="14600" max="14600" width="15.7109375" style="314" customWidth="1"/>
    <col min="14601" max="14601" width="17" style="314" customWidth="1"/>
    <col min="14602" max="14602" width="13.28515625" style="314" customWidth="1"/>
    <col min="14603" max="14603" width="11.5703125" style="314" customWidth="1"/>
    <col min="14604" max="14848" width="9" style="314"/>
    <col min="14849" max="14849" width="4.140625" style="314" customWidth="1"/>
    <col min="14850" max="14850" width="4.28515625" style="314" customWidth="1"/>
    <col min="14851" max="14851" width="13.5703125" style="314" customWidth="1"/>
    <col min="14852" max="14852" width="65" style="314" customWidth="1"/>
    <col min="14853" max="14853" width="6.7109375" style="314" customWidth="1"/>
    <col min="14854" max="14854" width="8.42578125" style="314" customWidth="1"/>
    <col min="14855" max="14855" width="10" style="314" customWidth="1"/>
    <col min="14856" max="14856" width="15.7109375" style="314" customWidth="1"/>
    <col min="14857" max="14857" width="17" style="314" customWidth="1"/>
    <col min="14858" max="14858" width="13.28515625" style="314" customWidth="1"/>
    <col min="14859" max="14859" width="11.5703125" style="314" customWidth="1"/>
    <col min="14860" max="15104" width="9" style="314"/>
    <col min="15105" max="15105" width="4.140625" style="314" customWidth="1"/>
    <col min="15106" max="15106" width="4.28515625" style="314" customWidth="1"/>
    <col min="15107" max="15107" width="13.5703125" style="314" customWidth="1"/>
    <col min="15108" max="15108" width="65" style="314" customWidth="1"/>
    <col min="15109" max="15109" width="6.7109375" style="314" customWidth="1"/>
    <col min="15110" max="15110" width="8.42578125" style="314" customWidth="1"/>
    <col min="15111" max="15111" width="10" style="314" customWidth="1"/>
    <col min="15112" max="15112" width="15.7109375" style="314" customWidth="1"/>
    <col min="15113" max="15113" width="17" style="314" customWidth="1"/>
    <col min="15114" max="15114" width="13.28515625" style="314" customWidth="1"/>
    <col min="15115" max="15115" width="11.5703125" style="314" customWidth="1"/>
    <col min="15116" max="15360" width="9" style="314"/>
    <col min="15361" max="15361" width="4.140625" style="314" customWidth="1"/>
    <col min="15362" max="15362" width="4.28515625" style="314" customWidth="1"/>
    <col min="15363" max="15363" width="13.5703125" style="314" customWidth="1"/>
    <col min="15364" max="15364" width="65" style="314" customWidth="1"/>
    <col min="15365" max="15365" width="6.7109375" style="314" customWidth="1"/>
    <col min="15366" max="15366" width="8.42578125" style="314" customWidth="1"/>
    <col min="15367" max="15367" width="10" style="314" customWidth="1"/>
    <col min="15368" max="15368" width="15.7109375" style="314" customWidth="1"/>
    <col min="15369" max="15369" width="17" style="314" customWidth="1"/>
    <col min="15370" max="15370" width="13.28515625" style="314" customWidth="1"/>
    <col min="15371" max="15371" width="11.5703125" style="314" customWidth="1"/>
    <col min="15372" max="15616" width="9" style="314"/>
    <col min="15617" max="15617" width="4.140625" style="314" customWidth="1"/>
    <col min="15618" max="15618" width="4.28515625" style="314" customWidth="1"/>
    <col min="15619" max="15619" width="13.5703125" style="314" customWidth="1"/>
    <col min="15620" max="15620" width="65" style="314" customWidth="1"/>
    <col min="15621" max="15621" width="6.7109375" style="314" customWidth="1"/>
    <col min="15622" max="15622" width="8.42578125" style="314" customWidth="1"/>
    <col min="15623" max="15623" width="10" style="314" customWidth="1"/>
    <col min="15624" max="15624" width="15.7109375" style="314" customWidth="1"/>
    <col min="15625" max="15625" width="17" style="314" customWidth="1"/>
    <col min="15626" max="15626" width="13.28515625" style="314" customWidth="1"/>
    <col min="15627" max="15627" width="11.5703125" style="314" customWidth="1"/>
    <col min="15628" max="15872" width="9" style="314"/>
    <col min="15873" max="15873" width="4.140625" style="314" customWidth="1"/>
    <col min="15874" max="15874" width="4.28515625" style="314" customWidth="1"/>
    <col min="15875" max="15875" width="13.5703125" style="314" customWidth="1"/>
    <col min="15876" max="15876" width="65" style="314" customWidth="1"/>
    <col min="15877" max="15877" width="6.7109375" style="314" customWidth="1"/>
    <col min="15878" max="15878" width="8.42578125" style="314" customWidth="1"/>
    <col min="15879" max="15879" width="10" style="314" customWidth="1"/>
    <col min="15880" max="15880" width="15.7109375" style="314" customWidth="1"/>
    <col min="15881" max="15881" width="17" style="314" customWidth="1"/>
    <col min="15882" max="15882" width="13.28515625" style="314" customWidth="1"/>
    <col min="15883" max="15883" width="11.5703125" style="314" customWidth="1"/>
    <col min="15884" max="16128" width="9" style="314"/>
    <col min="16129" max="16129" width="4.140625" style="314" customWidth="1"/>
    <col min="16130" max="16130" width="4.28515625" style="314" customWidth="1"/>
    <col min="16131" max="16131" width="13.5703125" style="314" customWidth="1"/>
    <col min="16132" max="16132" width="65" style="314" customWidth="1"/>
    <col min="16133" max="16133" width="6.7109375" style="314" customWidth="1"/>
    <col min="16134" max="16134" width="8.42578125" style="314" customWidth="1"/>
    <col min="16135" max="16135" width="10" style="314" customWidth="1"/>
    <col min="16136" max="16136" width="15.7109375" style="314" customWidth="1"/>
    <col min="16137" max="16137" width="17" style="314" customWidth="1"/>
    <col min="16138" max="16138" width="13.28515625" style="314" customWidth="1"/>
    <col min="16139" max="16139" width="11.5703125" style="314" customWidth="1"/>
    <col min="16140" max="16384" width="9" style="314"/>
  </cols>
  <sheetData>
    <row r="1" spans="1:256" ht="20.25" customHeight="1">
      <c r="A1" s="120" t="s">
        <v>839</v>
      </c>
      <c r="B1" s="121"/>
      <c r="C1" s="121"/>
      <c r="D1" s="121"/>
      <c r="E1" s="121"/>
      <c r="F1" s="121"/>
      <c r="G1" s="121"/>
      <c r="H1" s="121"/>
      <c r="J1" s="812"/>
    </row>
    <row r="2" spans="1:256" ht="13.5" customHeight="1">
      <c r="A2" s="142" t="s">
        <v>731</v>
      </c>
      <c r="B2" s="315"/>
      <c r="C2" s="315"/>
      <c r="D2" s="315"/>
      <c r="E2" s="122"/>
      <c r="F2" s="122"/>
      <c r="G2" s="121"/>
      <c r="H2" s="121"/>
      <c r="J2" s="365"/>
    </row>
    <row r="3" spans="1:256" ht="12.75" customHeight="1">
      <c r="A3" s="142" t="s">
        <v>350</v>
      </c>
      <c r="B3" s="315"/>
      <c r="C3" s="315"/>
      <c r="D3" s="315"/>
      <c r="E3" s="122"/>
      <c r="F3" s="122"/>
      <c r="G3" s="121"/>
      <c r="H3" s="121"/>
    </row>
    <row r="4" spans="1:256" ht="12.75" customHeight="1">
      <c r="A4" s="123" t="s">
        <v>206</v>
      </c>
      <c r="B4" s="512"/>
      <c r="C4" s="512"/>
      <c r="D4" s="512"/>
      <c r="E4" s="122"/>
      <c r="F4" s="122"/>
      <c r="G4" s="121"/>
      <c r="H4" s="121"/>
    </row>
    <row r="5" spans="1:256" ht="12.75" customHeight="1">
      <c r="A5" s="122" t="s">
        <v>167</v>
      </c>
      <c r="B5" s="122"/>
      <c r="C5" s="122"/>
      <c r="D5" s="122"/>
      <c r="E5" s="122"/>
      <c r="F5" s="122"/>
      <c r="G5" s="121"/>
      <c r="H5" s="121"/>
    </row>
    <row r="6" spans="1:256" ht="12.75" customHeight="1">
      <c r="A6" s="122"/>
      <c r="B6" s="122"/>
      <c r="C6" s="122"/>
      <c r="D6" s="122"/>
      <c r="E6" s="122"/>
      <c r="F6" s="122"/>
      <c r="G6" s="121"/>
      <c r="H6" s="121"/>
    </row>
    <row r="7" spans="1:256" ht="24.75" customHeight="1">
      <c r="A7" s="124" t="s">
        <v>71</v>
      </c>
      <c r="B7" s="124" t="s">
        <v>72</v>
      </c>
      <c r="C7" s="124" t="s">
        <v>73</v>
      </c>
      <c r="D7" s="124" t="s">
        <v>74</v>
      </c>
      <c r="E7" s="124" t="s">
        <v>75</v>
      </c>
      <c r="F7" s="124" t="s">
        <v>76</v>
      </c>
      <c r="G7" s="124" t="s">
        <v>77</v>
      </c>
      <c r="H7" s="124" t="s">
        <v>16</v>
      </c>
      <c r="I7" s="124" t="s">
        <v>30</v>
      </c>
    </row>
    <row r="8" spans="1:256" ht="12.75" customHeight="1">
      <c r="A8" s="124" t="s">
        <v>78</v>
      </c>
      <c r="B8" s="124" t="s">
        <v>79</v>
      </c>
      <c r="C8" s="124" t="s">
        <v>80</v>
      </c>
      <c r="D8" s="124" t="s">
        <v>81</v>
      </c>
      <c r="E8" s="124" t="s">
        <v>82</v>
      </c>
      <c r="F8" s="124" t="s">
        <v>83</v>
      </c>
      <c r="G8" s="124" t="s">
        <v>84</v>
      </c>
      <c r="H8" s="124">
        <v>8</v>
      </c>
      <c r="I8" s="124">
        <v>9</v>
      </c>
    </row>
    <row r="9" spans="1:256" ht="21" customHeight="1">
      <c r="A9" s="814"/>
      <c r="B9" s="815"/>
      <c r="C9" s="815" t="s">
        <v>93</v>
      </c>
      <c r="D9" s="815" t="s">
        <v>94</v>
      </c>
      <c r="E9" s="815"/>
      <c r="F9" s="816"/>
      <c r="G9" s="817"/>
      <c r="H9" s="817">
        <f>H10+H112+H132+H175</f>
        <v>0</v>
      </c>
      <c r="J9" s="818"/>
    </row>
    <row r="10" spans="1:256" ht="13.5" customHeight="1">
      <c r="A10" s="467"/>
      <c r="B10" s="468"/>
      <c r="C10" s="468">
        <v>1</v>
      </c>
      <c r="D10" s="468" t="s">
        <v>95</v>
      </c>
      <c r="E10" s="468"/>
      <c r="F10" s="469"/>
      <c r="G10" s="470"/>
      <c r="H10" s="470">
        <f>SUM(H11:H17,H19:H22,H24:H43,H45:H52,H54:H61,H63:H105)</f>
        <v>0</v>
      </c>
      <c r="I10" s="997"/>
      <c r="J10" s="317"/>
    </row>
    <row r="11" spans="1:256" s="335" customFormat="1" ht="13.5" customHeight="1">
      <c r="A11" s="379">
        <v>1</v>
      </c>
      <c r="B11" s="85">
        <v>221</v>
      </c>
      <c r="C11" s="85">
        <v>113106123</v>
      </c>
      <c r="D11" s="85" t="s">
        <v>112</v>
      </c>
      <c r="E11" s="85" t="s">
        <v>98</v>
      </c>
      <c r="F11" s="998">
        <f>SUM(F12:F12)</f>
        <v>1.5</v>
      </c>
      <c r="G11" s="86"/>
      <c r="H11" s="380">
        <f>F11*G11</f>
        <v>0</v>
      </c>
      <c r="I11" s="819" t="s">
        <v>738</v>
      </c>
      <c r="J11" s="317"/>
      <c r="K11" s="505"/>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row>
    <row r="12" spans="1:256" s="335" customFormat="1" ht="13.5" customHeight="1">
      <c r="A12" s="434"/>
      <c r="B12" s="435"/>
      <c r="C12" s="456"/>
      <c r="D12" s="456" t="s">
        <v>642</v>
      </c>
      <c r="E12" s="456"/>
      <c r="F12" s="337">
        <f>1.5</f>
        <v>1.5</v>
      </c>
      <c r="G12" s="999"/>
      <c r="H12" s="999"/>
      <c r="I12" s="549"/>
      <c r="J12" s="317"/>
      <c r="K12" s="505"/>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row>
    <row r="13" spans="1:256" s="335" customFormat="1" ht="13.5" customHeight="1">
      <c r="A13" s="379">
        <v>2</v>
      </c>
      <c r="B13" s="85">
        <v>221</v>
      </c>
      <c r="C13" s="85">
        <v>113107122</v>
      </c>
      <c r="D13" s="85" t="s">
        <v>113</v>
      </c>
      <c r="E13" s="85" t="s">
        <v>98</v>
      </c>
      <c r="F13" s="998">
        <f>SUM(F15:F15)</f>
        <v>1.5</v>
      </c>
      <c r="G13" s="86"/>
      <c r="H13" s="380">
        <f>F13*G13</f>
        <v>0</v>
      </c>
      <c r="I13" s="819" t="s">
        <v>738</v>
      </c>
      <c r="J13" s="1000"/>
      <c r="K13" s="1001"/>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row>
    <row r="14" spans="1:256" s="335" customFormat="1" ht="13.5" customHeight="1">
      <c r="A14" s="379"/>
      <c r="B14" s="85"/>
      <c r="C14" s="85"/>
      <c r="D14" s="456" t="s">
        <v>460</v>
      </c>
      <c r="E14" s="85"/>
      <c r="F14" s="998"/>
      <c r="G14" s="380"/>
      <c r="H14" s="380"/>
      <c r="I14" s="332"/>
      <c r="J14" s="1000"/>
      <c r="K14" s="1001"/>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row>
    <row r="15" spans="1:256" s="335" customFormat="1" ht="13.5" customHeight="1">
      <c r="A15" s="434"/>
      <c r="B15" s="435"/>
      <c r="C15" s="456"/>
      <c r="D15" s="456" t="s">
        <v>643</v>
      </c>
      <c r="E15" s="456"/>
      <c r="F15" s="337">
        <f>1.5</f>
        <v>1.5</v>
      </c>
      <c r="G15" s="999"/>
      <c r="H15" s="999"/>
      <c r="I15" s="549"/>
      <c r="J15" s="1000"/>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row>
    <row r="16" spans="1:256" s="506" customFormat="1" ht="13.5" customHeight="1">
      <c r="A16" s="530">
        <v>3</v>
      </c>
      <c r="B16" s="34">
        <v>221</v>
      </c>
      <c r="C16" s="34">
        <v>113107124</v>
      </c>
      <c r="D16" s="34" t="s">
        <v>266</v>
      </c>
      <c r="E16" s="34" t="s">
        <v>98</v>
      </c>
      <c r="F16" s="531">
        <f>SUM(F19)</f>
        <v>6.8</v>
      </c>
      <c r="G16" s="79"/>
      <c r="H16" s="532">
        <f>F16*G16</f>
        <v>0</v>
      </c>
      <c r="I16" s="819" t="s">
        <v>738</v>
      </c>
      <c r="J16" s="317"/>
      <c r="K16" s="551"/>
      <c r="L16" s="452"/>
      <c r="M16" s="569"/>
      <c r="N16" s="569"/>
      <c r="O16" s="570"/>
      <c r="P16" s="572"/>
      <c r="Q16" s="572"/>
      <c r="R16" s="573"/>
      <c r="S16" s="573"/>
      <c r="T16" s="461"/>
      <c r="U16" s="452"/>
      <c r="V16" s="452"/>
      <c r="W16" s="452"/>
      <c r="X16" s="452"/>
      <c r="Y16" s="452"/>
      <c r="Z16" s="452"/>
      <c r="AA16" s="452"/>
      <c r="AB16" s="452"/>
      <c r="AC16" s="452"/>
      <c r="AD16" s="452"/>
      <c r="AE16" s="452"/>
      <c r="AF16" s="452"/>
      <c r="AG16" s="452"/>
      <c r="AH16" s="452"/>
      <c r="AI16" s="452"/>
      <c r="AJ16" s="452"/>
      <c r="AK16" s="452"/>
      <c r="AL16" s="509"/>
      <c r="AM16" s="509"/>
      <c r="AN16" s="509"/>
      <c r="AO16" s="509"/>
      <c r="AP16" s="509"/>
      <c r="AQ16" s="509"/>
      <c r="AR16" s="509"/>
      <c r="AS16" s="509"/>
      <c r="AT16" s="509"/>
      <c r="AU16" s="509"/>
      <c r="AV16" s="508"/>
      <c r="AW16" s="508"/>
      <c r="AX16" s="508"/>
      <c r="AY16" s="508"/>
      <c r="AZ16" s="508"/>
      <c r="BA16" s="508"/>
      <c r="BB16" s="508"/>
      <c r="BC16" s="508"/>
      <c r="BD16" s="508"/>
      <c r="BE16" s="508"/>
      <c r="BF16" s="508"/>
      <c r="BG16" s="508"/>
      <c r="BH16" s="508"/>
      <c r="BI16" s="508"/>
      <c r="BJ16" s="508"/>
      <c r="BK16" s="508"/>
      <c r="BL16" s="508"/>
      <c r="BM16" s="508"/>
      <c r="BN16" s="508"/>
      <c r="BO16" s="508"/>
      <c r="BP16" s="508"/>
      <c r="BQ16" s="508"/>
      <c r="BR16" s="508"/>
      <c r="BS16" s="508"/>
      <c r="BT16" s="508"/>
      <c r="BU16" s="508"/>
      <c r="BV16" s="508"/>
      <c r="BW16" s="508"/>
      <c r="BX16" s="508"/>
      <c r="BY16" s="508"/>
      <c r="BZ16" s="508"/>
      <c r="CA16" s="508"/>
      <c r="CB16" s="508"/>
      <c r="CC16" s="508"/>
      <c r="CD16" s="508"/>
      <c r="CE16" s="508"/>
      <c r="CF16" s="508"/>
      <c r="CG16" s="508"/>
      <c r="CH16" s="508"/>
      <c r="CI16" s="508"/>
      <c r="CJ16" s="508"/>
      <c r="CK16" s="508"/>
      <c r="CL16" s="508"/>
      <c r="CM16" s="508"/>
      <c r="CN16" s="508"/>
      <c r="CO16" s="508"/>
      <c r="CP16" s="508"/>
      <c r="CQ16" s="508"/>
      <c r="CR16" s="508"/>
      <c r="CS16" s="508"/>
      <c r="CT16" s="508"/>
      <c r="CU16" s="508"/>
      <c r="CV16" s="508"/>
      <c r="CW16" s="508"/>
      <c r="CX16" s="508"/>
      <c r="CY16" s="508"/>
      <c r="CZ16" s="508"/>
      <c r="DA16" s="508"/>
      <c r="DB16" s="508"/>
      <c r="DC16" s="508"/>
      <c r="DD16" s="508"/>
      <c r="DE16" s="508"/>
      <c r="DF16" s="508"/>
      <c r="DG16" s="508"/>
      <c r="DH16" s="508"/>
      <c r="DI16" s="508"/>
      <c r="DJ16" s="508"/>
      <c r="DK16" s="508"/>
      <c r="DL16" s="508"/>
      <c r="DM16" s="508"/>
      <c r="DN16" s="508"/>
      <c r="DO16" s="508"/>
      <c r="DP16" s="508"/>
      <c r="DQ16" s="508"/>
      <c r="DR16" s="508"/>
      <c r="DS16" s="508"/>
      <c r="DT16" s="508"/>
      <c r="DU16" s="508"/>
      <c r="DV16" s="508"/>
      <c r="DW16" s="508"/>
      <c r="DX16" s="508"/>
      <c r="DY16" s="508"/>
      <c r="DZ16" s="508"/>
      <c r="EA16" s="508"/>
      <c r="EB16" s="508"/>
      <c r="EC16" s="508"/>
      <c r="ED16" s="508"/>
      <c r="EE16" s="508"/>
      <c r="EF16" s="508"/>
      <c r="EG16" s="508"/>
      <c r="EH16" s="508"/>
      <c r="EI16" s="508"/>
      <c r="EJ16" s="508"/>
      <c r="EK16" s="508"/>
      <c r="EL16" s="508"/>
      <c r="EM16" s="508"/>
      <c r="EN16" s="508"/>
      <c r="EO16" s="508"/>
      <c r="EP16" s="508"/>
      <c r="EQ16" s="508"/>
      <c r="ER16" s="508"/>
      <c r="ES16" s="508"/>
      <c r="ET16" s="508"/>
      <c r="EU16" s="508"/>
      <c r="EV16" s="508"/>
      <c r="EW16" s="508"/>
      <c r="EX16" s="508"/>
      <c r="EY16" s="508"/>
      <c r="EZ16" s="508"/>
      <c r="FA16" s="508"/>
      <c r="FB16" s="508"/>
      <c r="FC16" s="508"/>
      <c r="FD16" s="508"/>
      <c r="FE16" s="508"/>
      <c r="FF16" s="508"/>
      <c r="FG16" s="508"/>
      <c r="FH16" s="508"/>
      <c r="FI16" s="508"/>
      <c r="FJ16" s="508"/>
      <c r="FK16" s="508"/>
      <c r="FL16" s="508"/>
      <c r="FM16" s="508"/>
      <c r="FN16" s="508"/>
      <c r="FO16" s="508"/>
      <c r="FP16" s="508"/>
      <c r="FQ16" s="508"/>
      <c r="FR16" s="508"/>
      <c r="FS16" s="508"/>
      <c r="FT16" s="508"/>
      <c r="FU16" s="508"/>
      <c r="FV16" s="508"/>
      <c r="FW16" s="508"/>
      <c r="FX16" s="508"/>
      <c r="FY16" s="508"/>
      <c r="FZ16" s="508"/>
      <c r="GA16" s="508"/>
      <c r="GB16" s="508"/>
      <c r="GC16" s="508"/>
      <c r="GD16" s="508"/>
      <c r="GE16" s="508"/>
      <c r="GF16" s="508"/>
      <c r="GG16" s="508"/>
      <c r="GH16" s="508"/>
      <c r="GI16" s="508"/>
      <c r="GJ16" s="508"/>
      <c r="GK16" s="508"/>
      <c r="GL16" s="508"/>
      <c r="GM16" s="508"/>
      <c r="GN16" s="508"/>
      <c r="GO16" s="508"/>
      <c r="GP16" s="508"/>
      <c r="GQ16" s="508"/>
      <c r="GR16" s="508"/>
      <c r="GS16" s="508"/>
      <c r="GT16" s="508"/>
      <c r="GU16" s="508"/>
      <c r="GV16" s="508"/>
      <c r="GW16" s="508"/>
      <c r="GX16" s="508"/>
      <c r="GY16" s="508"/>
      <c r="GZ16" s="508"/>
      <c r="HA16" s="508"/>
      <c r="HB16" s="508"/>
      <c r="HC16" s="508"/>
      <c r="HD16" s="508"/>
      <c r="HE16" s="508"/>
      <c r="HF16" s="508"/>
      <c r="HG16" s="508"/>
      <c r="HH16" s="508"/>
      <c r="HI16" s="508"/>
      <c r="HJ16" s="508"/>
      <c r="HK16" s="508"/>
      <c r="HL16" s="508"/>
      <c r="HM16" s="508"/>
      <c r="HN16" s="508"/>
      <c r="HO16" s="508"/>
      <c r="HP16" s="508"/>
      <c r="HQ16" s="508"/>
      <c r="HR16" s="508"/>
      <c r="HS16" s="508"/>
      <c r="HT16" s="508"/>
      <c r="HU16" s="508"/>
      <c r="HV16" s="508"/>
      <c r="HW16" s="508"/>
      <c r="HX16" s="508"/>
      <c r="HY16" s="508"/>
      <c r="HZ16" s="508"/>
      <c r="IA16" s="508"/>
      <c r="IB16" s="508"/>
      <c r="IC16" s="508"/>
      <c r="ID16" s="508"/>
      <c r="IE16" s="508"/>
      <c r="IF16" s="508"/>
      <c r="IG16" s="508"/>
      <c r="IH16" s="508"/>
      <c r="II16" s="508"/>
      <c r="IJ16" s="508"/>
      <c r="IK16" s="508"/>
      <c r="IL16" s="508"/>
      <c r="IM16" s="508"/>
      <c r="IN16" s="508"/>
      <c r="IO16" s="508"/>
      <c r="IP16" s="508"/>
      <c r="IQ16" s="508"/>
      <c r="IR16" s="508"/>
      <c r="IS16" s="508"/>
      <c r="IT16" s="508"/>
      <c r="IU16" s="508"/>
      <c r="IV16" s="508"/>
    </row>
    <row r="17" spans="1:256" s="506" customFormat="1" ht="13.5" customHeight="1">
      <c r="A17" s="434"/>
      <c r="B17" s="435"/>
      <c r="C17" s="456"/>
      <c r="D17" s="456" t="s">
        <v>456</v>
      </c>
      <c r="E17" s="456"/>
      <c r="F17" s="505"/>
      <c r="G17" s="448"/>
      <c r="H17" s="448"/>
      <c r="I17" s="549"/>
      <c r="J17" s="550"/>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509"/>
      <c r="AM17" s="509"/>
      <c r="AN17" s="509"/>
      <c r="AO17" s="509"/>
      <c r="AP17" s="509"/>
      <c r="AQ17" s="509"/>
      <c r="AR17" s="509"/>
      <c r="AS17" s="509"/>
      <c r="AT17" s="509"/>
      <c r="AU17" s="509"/>
      <c r="AV17" s="508"/>
      <c r="AW17" s="508"/>
      <c r="AX17" s="508"/>
      <c r="AY17" s="508"/>
      <c r="AZ17" s="508"/>
      <c r="BA17" s="508"/>
      <c r="BB17" s="508"/>
      <c r="BC17" s="508"/>
      <c r="BD17" s="508"/>
      <c r="BE17" s="508"/>
      <c r="BF17" s="508"/>
      <c r="BG17" s="508"/>
      <c r="BH17" s="508"/>
      <c r="BI17" s="508"/>
      <c r="BJ17" s="508"/>
      <c r="BK17" s="508"/>
      <c r="BL17" s="508"/>
      <c r="BM17" s="508"/>
      <c r="BN17" s="508"/>
      <c r="BO17" s="508"/>
      <c r="BP17" s="508"/>
      <c r="BQ17" s="508"/>
      <c r="BR17" s="508"/>
      <c r="BS17" s="508"/>
      <c r="BT17" s="508"/>
      <c r="BU17" s="508"/>
      <c r="BV17" s="508"/>
      <c r="BW17" s="508"/>
      <c r="BX17" s="508"/>
      <c r="BY17" s="508"/>
      <c r="BZ17" s="508"/>
      <c r="CA17" s="508"/>
      <c r="CB17" s="508"/>
      <c r="CC17" s="508"/>
      <c r="CD17" s="508"/>
      <c r="CE17" s="508"/>
      <c r="CF17" s="508"/>
      <c r="CG17" s="508"/>
      <c r="CH17" s="508"/>
      <c r="CI17" s="508"/>
      <c r="CJ17" s="508"/>
      <c r="CK17" s="508"/>
      <c r="CL17" s="508"/>
      <c r="CM17" s="508"/>
      <c r="CN17" s="508"/>
      <c r="CO17" s="508"/>
      <c r="CP17" s="508"/>
      <c r="CQ17" s="508"/>
      <c r="CR17" s="508"/>
      <c r="CS17" s="508"/>
      <c r="CT17" s="508"/>
      <c r="CU17" s="508"/>
      <c r="CV17" s="508"/>
      <c r="CW17" s="508"/>
      <c r="CX17" s="508"/>
      <c r="CY17" s="508"/>
      <c r="CZ17" s="508"/>
      <c r="DA17" s="508"/>
      <c r="DB17" s="508"/>
      <c r="DC17" s="508"/>
      <c r="DD17" s="508"/>
      <c r="DE17" s="508"/>
      <c r="DF17" s="508"/>
      <c r="DG17" s="508"/>
      <c r="DH17" s="508"/>
      <c r="DI17" s="508"/>
      <c r="DJ17" s="508"/>
      <c r="DK17" s="508"/>
      <c r="DL17" s="508"/>
      <c r="DM17" s="508"/>
      <c r="DN17" s="508"/>
      <c r="DO17" s="508"/>
      <c r="DP17" s="508"/>
      <c r="DQ17" s="508"/>
      <c r="DR17" s="508"/>
      <c r="DS17" s="508"/>
      <c r="DT17" s="508"/>
      <c r="DU17" s="508"/>
      <c r="DV17" s="508"/>
      <c r="DW17" s="508"/>
      <c r="DX17" s="508"/>
      <c r="DY17" s="508"/>
      <c r="DZ17" s="508"/>
      <c r="EA17" s="508"/>
      <c r="EB17" s="508"/>
      <c r="EC17" s="508"/>
      <c r="ED17" s="508"/>
      <c r="EE17" s="508"/>
      <c r="EF17" s="508"/>
      <c r="EG17" s="508"/>
      <c r="EH17" s="508"/>
      <c r="EI17" s="508"/>
      <c r="EJ17" s="508"/>
      <c r="EK17" s="508"/>
      <c r="EL17" s="508"/>
      <c r="EM17" s="508"/>
      <c r="EN17" s="508"/>
      <c r="EO17" s="508"/>
      <c r="EP17" s="508"/>
      <c r="EQ17" s="508"/>
      <c r="ER17" s="508"/>
      <c r="ES17" s="508"/>
      <c r="ET17" s="508"/>
      <c r="EU17" s="508"/>
      <c r="EV17" s="508"/>
      <c r="EW17" s="508"/>
      <c r="EX17" s="508"/>
      <c r="EY17" s="508"/>
      <c r="EZ17" s="508"/>
      <c r="FA17" s="508"/>
      <c r="FB17" s="508"/>
      <c r="FC17" s="508"/>
      <c r="FD17" s="508"/>
      <c r="FE17" s="508"/>
      <c r="FF17" s="508"/>
      <c r="FG17" s="508"/>
      <c r="FH17" s="508"/>
      <c r="FI17" s="508"/>
      <c r="FJ17" s="508"/>
      <c r="FK17" s="508"/>
      <c r="FL17" s="508"/>
      <c r="FM17" s="508"/>
      <c r="FN17" s="508"/>
      <c r="FO17" s="508"/>
      <c r="FP17" s="508"/>
      <c r="FQ17" s="508"/>
      <c r="FR17" s="508"/>
      <c r="FS17" s="508"/>
      <c r="FT17" s="508"/>
      <c r="FU17" s="508"/>
      <c r="FV17" s="508"/>
      <c r="FW17" s="508"/>
      <c r="FX17" s="508"/>
      <c r="FY17" s="508"/>
      <c r="FZ17" s="508"/>
      <c r="GA17" s="508"/>
      <c r="GB17" s="508"/>
      <c r="GC17" s="508"/>
      <c r="GD17" s="508"/>
      <c r="GE17" s="508"/>
      <c r="GF17" s="508"/>
      <c r="GG17" s="508"/>
      <c r="GH17" s="508"/>
      <c r="GI17" s="508"/>
      <c r="GJ17" s="508"/>
      <c r="GK17" s="508"/>
      <c r="GL17" s="508"/>
      <c r="GM17" s="508"/>
      <c r="GN17" s="508"/>
      <c r="GO17" s="508"/>
      <c r="GP17" s="508"/>
      <c r="GQ17" s="508"/>
      <c r="GR17" s="508"/>
      <c r="GS17" s="508"/>
      <c r="GT17" s="508"/>
      <c r="GU17" s="508"/>
      <c r="GV17" s="508"/>
      <c r="GW17" s="508"/>
      <c r="GX17" s="508"/>
      <c r="GY17" s="508"/>
      <c r="GZ17" s="508"/>
      <c r="HA17" s="508"/>
      <c r="HB17" s="508"/>
      <c r="HC17" s="508"/>
      <c r="HD17" s="508"/>
      <c r="HE17" s="508"/>
      <c r="HF17" s="508"/>
      <c r="HG17" s="508"/>
      <c r="HH17" s="508"/>
      <c r="HI17" s="508"/>
      <c r="HJ17" s="508"/>
      <c r="HK17" s="508"/>
      <c r="HL17" s="508"/>
      <c r="HM17" s="508"/>
      <c r="HN17" s="508"/>
      <c r="HO17" s="508"/>
      <c r="HP17" s="508"/>
      <c r="HQ17" s="508"/>
      <c r="HR17" s="508"/>
      <c r="HS17" s="508"/>
      <c r="HT17" s="508"/>
      <c r="HU17" s="508"/>
      <c r="HV17" s="508"/>
      <c r="HW17" s="508"/>
      <c r="HX17" s="508"/>
      <c r="HY17" s="508"/>
      <c r="HZ17" s="508"/>
      <c r="IA17" s="508"/>
      <c r="IB17" s="508"/>
      <c r="IC17" s="508"/>
      <c r="ID17" s="508"/>
      <c r="IE17" s="508"/>
      <c r="IF17" s="508"/>
      <c r="IG17" s="508"/>
      <c r="IH17" s="508"/>
      <c r="II17" s="508"/>
      <c r="IJ17" s="508"/>
      <c r="IK17" s="508"/>
      <c r="IL17" s="508"/>
      <c r="IM17" s="508"/>
      <c r="IN17" s="508"/>
      <c r="IO17" s="508"/>
      <c r="IP17" s="508"/>
      <c r="IQ17" s="508"/>
      <c r="IR17" s="508"/>
      <c r="IS17" s="508"/>
      <c r="IT17" s="508"/>
      <c r="IU17" s="508"/>
      <c r="IV17" s="508"/>
    </row>
    <row r="18" spans="1:256" s="506" customFormat="1" ht="27" customHeight="1">
      <c r="A18" s="434"/>
      <c r="B18" s="435"/>
      <c r="C18" s="456"/>
      <c r="D18" s="456" t="s">
        <v>820</v>
      </c>
      <c r="E18" s="456"/>
      <c r="F18" s="1002" t="s">
        <v>457</v>
      </c>
      <c r="G18" s="1003"/>
      <c r="H18" s="1004"/>
      <c r="I18" s="549"/>
      <c r="J18" s="1005"/>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509"/>
      <c r="AM18" s="509"/>
      <c r="AN18" s="509"/>
      <c r="AO18" s="509"/>
      <c r="AP18" s="509"/>
      <c r="AQ18" s="509"/>
      <c r="AR18" s="509"/>
      <c r="AS18" s="509"/>
      <c r="AT18" s="509"/>
      <c r="AU18" s="509"/>
      <c r="AV18" s="508"/>
      <c r="AW18" s="508"/>
      <c r="AX18" s="508"/>
      <c r="AY18" s="508"/>
      <c r="AZ18" s="508"/>
      <c r="BA18" s="508"/>
      <c r="BB18" s="508"/>
      <c r="BC18" s="508"/>
      <c r="BD18" s="508"/>
      <c r="BE18" s="508"/>
      <c r="BF18" s="508"/>
      <c r="BG18" s="508"/>
      <c r="BH18" s="508"/>
      <c r="BI18" s="508"/>
      <c r="BJ18" s="508"/>
      <c r="BK18" s="508"/>
      <c r="BL18" s="508"/>
      <c r="BM18" s="508"/>
      <c r="BN18" s="508"/>
      <c r="BO18" s="508"/>
      <c r="BP18" s="508"/>
      <c r="BQ18" s="508"/>
      <c r="BR18" s="508"/>
      <c r="BS18" s="508"/>
      <c r="BT18" s="508"/>
      <c r="BU18" s="508"/>
      <c r="BV18" s="508"/>
      <c r="BW18" s="508"/>
      <c r="BX18" s="508"/>
      <c r="BY18" s="508"/>
      <c r="BZ18" s="508"/>
      <c r="CA18" s="508"/>
      <c r="CB18" s="508"/>
      <c r="CC18" s="508"/>
      <c r="CD18" s="508"/>
      <c r="CE18" s="508"/>
      <c r="CF18" s="508"/>
      <c r="CG18" s="508"/>
      <c r="CH18" s="508"/>
      <c r="CI18" s="508"/>
      <c r="CJ18" s="508"/>
      <c r="CK18" s="508"/>
      <c r="CL18" s="508"/>
      <c r="CM18" s="508"/>
      <c r="CN18" s="508"/>
      <c r="CO18" s="508"/>
      <c r="CP18" s="508"/>
      <c r="CQ18" s="508"/>
      <c r="CR18" s="508"/>
      <c r="CS18" s="508"/>
      <c r="CT18" s="508"/>
      <c r="CU18" s="508"/>
      <c r="CV18" s="508"/>
      <c r="CW18" s="508"/>
      <c r="CX18" s="508"/>
      <c r="CY18" s="508"/>
      <c r="CZ18" s="508"/>
      <c r="DA18" s="508"/>
      <c r="DB18" s="508"/>
      <c r="DC18" s="508"/>
      <c r="DD18" s="508"/>
      <c r="DE18" s="508"/>
      <c r="DF18" s="508"/>
      <c r="DG18" s="508"/>
      <c r="DH18" s="508"/>
      <c r="DI18" s="508"/>
      <c r="DJ18" s="508"/>
      <c r="DK18" s="508"/>
      <c r="DL18" s="508"/>
      <c r="DM18" s="508"/>
      <c r="DN18" s="508"/>
      <c r="DO18" s="508"/>
      <c r="DP18" s="508"/>
      <c r="DQ18" s="508"/>
      <c r="DR18" s="508"/>
      <c r="DS18" s="508"/>
      <c r="DT18" s="508"/>
      <c r="DU18" s="508"/>
      <c r="DV18" s="508"/>
      <c r="DW18" s="508"/>
      <c r="DX18" s="508"/>
      <c r="DY18" s="508"/>
      <c r="DZ18" s="508"/>
      <c r="EA18" s="508"/>
      <c r="EB18" s="508"/>
      <c r="EC18" s="508"/>
      <c r="ED18" s="508"/>
      <c r="EE18" s="508"/>
      <c r="EF18" s="508"/>
      <c r="EG18" s="508"/>
      <c r="EH18" s="508"/>
      <c r="EI18" s="508"/>
      <c r="EJ18" s="508"/>
      <c r="EK18" s="508"/>
      <c r="EL18" s="508"/>
      <c r="EM18" s="508"/>
      <c r="EN18" s="508"/>
      <c r="EO18" s="508"/>
      <c r="EP18" s="508"/>
      <c r="EQ18" s="508"/>
      <c r="ER18" s="508"/>
      <c r="ES18" s="508"/>
      <c r="ET18" s="508"/>
      <c r="EU18" s="508"/>
      <c r="EV18" s="508"/>
      <c r="EW18" s="508"/>
      <c r="EX18" s="508"/>
      <c r="EY18" s="508"/>
      <c r="EZ18" s="508"/>
      <c r="FA18" s="508"/>
      <c r="FB18" s="508"/>
      <c r="FC18" s="508"/>
      <c r="FD18" s="508"/>
      <c r="FE18" s="508"/>
      <c r="FF18" s="508"/>
      <c r="FG18" s="508"/>
      <c r="FH18" s="508"/>
      <c r="FI18" s="508"/>
      <c r="FJ18" s="508"/>
      <c r="FK18" s="508"/>
      <c r="FL18" s="508"/>
      <c r="FM18" s="508"/>
      <c r="FN18" s="508"/>
      <c r="FO18" s="508"/>
      <c r="FP18" s="508"/>
      <c r="FQ18" s="508"/>
      <c r="FR18" s="508"/>
      <c r="FS18" s="508"/>
      <c r="FT18" s="508"/>
      <c r="FU18" s="508"/>
      <c r="FV18" s="508"/>
      <c r="FW18" s="508"/>
      <c r="FX18" s="508"/>
      <c r="FY18" s="508"/>
      <c r="FZ18" s="508"/>
      <c r="GA18" s="508"/>
      <c r="GB18" s="508"/>
      <c r="GC18" s="508"/>
      <c r="GD18" s="508"/>
      <c r="GE18" s="508"/>
      <c r="GF18" s="508"/>
      <c r="GG18" s="508"/>
      <c r="GH18" s="508"/>
      <c r="GI18" s="508"/>
      <c r="GJ18" s="508"/>
      <c r="GK18" s="508"/>
      <c r="GL18" s="508"/>
      <c r="GM18" s="508"/>
      <c r="GN18" s="508"/>
      <c r="GO18" s="508"/>
      <c r="GP18" s="508"/>
      <c r="GQ18" s="508"/>
      <c r="GR18" s="508"/>
      <c r="GS18" s="508"/>
      <c r="GT18" s="508"/>
      <c r="GU18" s="508"/>
      <c r="GV18" s="508"/>
      <c r="GW18" s="508"/>
      <c r="GX18" s="508"/>
      <c r="GY18" s="508"/>
      <c r="GZ18" s="508"/>
      <c r="HA18" s="508"/>
      <c r="HB18" s="508"/>
      <c r="HC18" s="508"/>
      <c r="HD18" s="508"/>
      <c r="HE18" s="508"/>
      <c r="HF18" s="508"/>
      <c r="HG18" s="508"/>
      <c r="HH18" s="508"/>
      <c r="HI18" s="508"/>
      <c r="HJ18" s="508"/>
      <c r="HK18" s="508"/>
      <c r="HL18" s="508"/>
      <c r="HM18" s="508"/>
      <c r="HN18" s="508"/>
      <c r="HO18" s="508"/>
      <c r="HP18" s="508"/>
      <c r="HQ18" s="508"/>
      <c r="HR18" s="508"/>
      <c r="HS18" s="508"/>
      <c r="HT18" s="508"/>
      <c r="HU18" s="508"/>
      <c r="HV18" s="508"/>
      <c r="HW18" s="508"/>
      <c r="HX18" s="508"/>
      <c r="HY18" s="508"/>
      <c r="HZ18" s="508"/>
      <c r="IA18" s="508"/>
      <c r="IB18" s="508"/>
      <c r="IC18" s="508"/>
      <c r="ID18" s="508"/>
      <c r="IE18" s="508"/>
      <c r="IF18" s="508"/>
      <c r="IG18" s="508"/>
      <c r="IH18" s="508"/>
      <c r="II18" s="508"/>
      <c r="IJ18" s="508"/>
      <c r="IK18" s="508"/>
      <c r="IL18" s="508"/>
      <c r="IM18" s="508"/>
      <c r="IN18" s="508"/>
      <c r="IO18" s="508"/>
      <c r="IP18" s="508"/>
      <c r="IQ18" s="508"/>
      <c r="IR18" s="508"/>
      <c r="IS18" s="508"/>
      <c r="IT18" s="508"/>
      <c r="IU18" s="508"/>
      <c r="IV18" s="508"/>
    </row>
    <row r="19" spans="1:256" s="506" customFormat="1" ht="13.5" customHeight="1">
      <c r="A19" s="434"/>
      <c r="B19" s="435"/>
      <c r="C19" s="456"/>
      <c r="D19" s="456" t="s">
        <v>458</v>
      </c>
      <c r="E19" s="456"/>
      <c r="F19" s="548">
        <f>(6.8)*1</f>
        <v>6.8</v>
      </c>
      <c r="G19" s="448"/>
      <c r="H19" s="448"/>
      <c r="I19" s="549"/>
      <c r="J19" s="1005"/>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509"/>
      <c r="AM19" s="509"/>
      <c r="AN19" s="509"/>
      <c r="AO19" s="509"/>
      <c r="AP19" s="509"/>
      <c r="AQ19" s="509"/>
      <c r="AR19" s="509"/>
      <c r="AS19" s="509"/>
      <c r="AT19" s="509"/>
      <c r="AU19" s="509"/>
      <c r="AV19" s="508"/>
      <c r="AW19" s="508"/>
      <c r="AX19" s="508"/>
      <c r="AY19" s="508"/>
      <c r="AZ19" s="508"/>
      <c r="BA19" s="508"/>
      <c r="BB19" s="508"/>
      <c r="BC19" s="508"/>
      <c r="BD19" s="508"/>
      <c r="BE19" s="508"/>
      <c r="BF19" s="508"/>
      <c r="BG19" s="508"/>
      <c r="BH19" s="508"/>
      <c r="BI19" s="508"/>
      <c r="BJ19" s="508"/>
      <c r="BK19" s="508"/>
      <c r="BL19" s="508"/>
      <c r="BM19" s="508"/>
      <c r="BN19" s="508"/>
      <c r="BO19" s="508"/>
      <c r="BP19" s="508"/>
      <c r="BQ19" s="508"/>
      <c r="BR19" s="508"/>
      <c r="BS19" s="508"/>
      <c r="BT19" s="508"/>
      <c r="BU19" s="508"/>
      <c r="BV19" s="508"/>
      <c r="BW19" s="508"/>
      <c r="BX19" s="508"/>
      <c r="BY19" s="508"/>
      <c r="BZ19" s="508"/>
      <c r="CA19" s="508"/>
      <c r="CB19" s="508"/>
      <c r="CC19" s="508"/>
      <c r="CD19" s="508"/>
      <c r="CE19" s="508"/>
      <c r="CF19" s="508"/>
      <c r="CG19" s="508"/>
      <c r="CH19" s="508"/>
      <c r="CI19" s="508"/>
      <c r="CJ19" s="508"/>
      <c r="CK19" s="508"/>
      <c r="CL19" s="508"/>
      <c r="CM19" s="508"/>
      <c r="CN19" s="508"/>
      <c r="CO19" s="508"/>
      <c r="CP19" s="508"/>
      <c r="CQ19" s="508"/>
      <c r="CR19" s="508"/>
      <c r="CS19" s="508"/>
      <c r="CT19" s="508"/>
      <c r="CU19" s="508"/>
      <c r="CV19" s="508"/>
      <c r="CW19" s="508"/>
      <c r="CX19" s="508"/>
      <c r="CY19" s="508"/>
      <c r="CZ19" s="508"/>
      <c r="DA19" s="508"/>
      <c r="DB19" s="508"/>
      <c r="DC19" s="508"/>
      <c r="DD19" s="508"/>
      <c r="DE19" s="508"/>
      <c r="DF19" s="508"/>
      <c r="DG19" s="508"/>
      <c r="DH19" s="508"/>
      <c r="DI19" s="508"/>
      <c r="DJ19" s="508"/>
      <c r="DK19" s="508"/>
      <c r="DL19" s="508"/>
      <c r="DM19" s="508"/>
      <c r="DN19" s="508"/>
      <c r="DO19" s="508"/>
      <c r="DP19" s="508"/>
      <c r="DQ19" s="508"/>
      <c r="DR19" s="508"/>
      <c r="DS19" s="508"/>
      <c r="DT19" s="508"/>
      <c r="DU19" s="508"/>
      <c r="DV19" s="508"/>
      <c r="DW19" s="508"/>
      <c r="DX19" s="508"/>
      <c r="DY19" s="508"/>
      <c r="DZ19" s="508"/>
      <c r="EA19" s="508"/>
      <c r="EB19" s="508"/>
      <c r="EC19" s="508"/>
      <c r="ED19" s="508"/>
      <c r="EE19" s="508"/>
      <c r="EF19" s="508"/>
      <c r="EG19" s="508"/>
      <c r="EH19" s="508"/>
      <c r="EI19" s="508"/>
      <c r="EJ19" s="508"/>
      <c r="EK19" s="508"/>
      <c r="EL19" s="508"/>
      <c r="EM19" s="508"/>
      <c r="EN19" s="508"/>
      <c r="EO19" s="508"/>
      <c r="EP19" s="508"/>
      <c r="EQ19" s="508"/>
      <c r="ER19" s="508"/>
      <c r="ES19" s="508"/>
      <c r="ET19" s="508"/>
      <c r="EU19" s="508"/>
      <c r="EV19" s="508"/>
      <c r="EW19" s="508"/>
      <c r="EX19" s="508"/>
      <c r="EY19" s="508"/>
      <c r="EZ19" s="508"/>
      <c r="FA19" s="508"/>
      <c r="FB19" s="508"/>
      <c r="FC19" s="508"/>
      <c r="FD19" s="508"/>
      <c r="FE19" s="508"/>
      <c r="FF19" s="508"/>
      <c r="FG19" s="508"/>
      <c r="FH19" s="508"/>
      <c r="FI19" s="508"/>
      <c r="FJ19" s="508"/>
      <c r="FK19" s="508"/>
      <c r="FL19" s="508"/>
      <c r="FM19" s="508"/>
      <c r="FN19" s="508"/>
      <c r="FO19" s="508"/>
      <c r="FP19" s="508"/>
      <c r="FQ19" s="508"/>
      <c r="FR19" s="508"/>
      <c r="FS19" s="508"/>
      <c r="FT19" s="508"/>
      <c r="FU19" s="508"/>
      <c r="FV19" s="508"/>
      <c r="FW19" s="508"/>
      <c r="FX19" s="508"/>
      <c r="FY19" s="508"/>
      <c r="FZ19" s="508"/>
      <c r="GA19" s="508"/>
      <c r="GB19" s="508"/>
      <c r="GC19" s="508"/>
      <c r="GD19" s="508"/>
      <c r="GE19" s="508"/>
      <c r="GF19" s="508"/>
      <c r="GG19" s="508"/>
      <c r="GH19" s="508"/>
      <c r="GI19" s="508"/>
      <c r="GJ19" s="508"/>
      <c r="GK19" s="508"/>
      <c r="GL19" s="508"/>
      <c r="GM19" s="508"/>
      <c r="GN19" s="508"/>
      <c r="GO19" s="508"/>
      <c r="GP19" s="508"/>
      <c r="GQ19" s="508"/>
      <c r="GR19" s="508"/>
      <c r="GS19" s="508"/>
      <c r="GT19" s="508"/>
      <c r="GU19" s="508"/>
      <c r="GV19" s="508"/>
      <c r="GW19" s="508"/>
      <c r="GX19" s="508"/>
      <c r="GY19" s="508"/>
      <c r="GZ19" s="508"/>
      <c r="HA19" s="508"/>
      <c r="HB19" s="508"/>
      <c r="HC19" s="508"/>
      <c r="HD19" s="508"/>
      <c r="HE19" s="508"/>
      <c r="HF19" s="508"/>
      <c r="HG19" s="508"/>
      <c r="HH19" s="508"/>
      <c r="HI19" s="508"/>
      <c r="HJ19" s="508"/>
      <c r="HK19" s="508"/>
      <c r="HL19" s="508"/>
      <c r="HM19" s="508"/>
      <c r="HN19" s="508"/>
      <c r="HO19" s="508"/>
      <c r="HP19" s="508"/>
      <c r="HQ19" s="508"/>
      <c r="HR19" s="508"/>
      <c r="HS19" s="508"/>
      <c r="HT19" s="508"/>
      <c r="HU19" s="508"/>
      <c r="HV19" s="508"/>
      <c r="HW19" s="508"/>
      <c r="HX19" s="508"/>
      <c r="HY19" s="508"/>
      <c r="HZ19" s="508"/>
      <c r="IA19" s="508"/>
      <c r="IB19" s="508"/>
      <c r="IC19" s="508"/>
      <c r="ID19" s="508"/>
      <c r="IE19" s="508"/>
      <c r="IF19" s="508"/>
      <c r="IG19" s="508"/>
      <c r="IH19" s="508"/>
      <c r="II19" s="508"/>
      <c r="IJ19" s="508"/>
      <c r="IK19" s="508"/>
      <c r="IL19" s="508"/>
      <c r="IM19" s="508"/>
      <c r="IN19" s="508"/>
      <c r="IO19" s="508"/>
      <c r="IP19" s="508"/>
      <c r="IQ19" s="508"/>
      <c r="IR19" s="508"/>
      <c r="IS19" s="508"/>
      <c r="IT19" s="508"/>
      <c r="IU19" s="508"/>
      <c r="IV19" s="508"/>
    </row>
    <row r="20" spans="1:256" s="506" customFormat="1" ht="27" customHeight="1">
      <c r="A20" s="434"/>
      <c r="B20" s="435"/>
      <c r="C20" s="456"/>
      <c r="D20" s="547" t="s">
        <v>445</v>
      </c>
      <c r="E20" s="456"/>
      <c r="F20" s="548"/>
      <c r="G20" s="448"/>
      <c r="H20" s="448"/>
      <c r="I20" s="549"/>
      <c r="J20" s="1005"/>
      <c r="K20" s="551"/>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509"/>
      <c r="AM20" s="509"/>
      <c r="AN20" s="509"/>
      <c r="AO20" s="509"/>
      <c r="AP20" s="509"/>
      <c r="AQ20" s="509"/>
      <c r="AR20" s="509"/>
      <c r="AS20" s="509"/>
      <c r="AT20" s="509"/>
      <c r="AU20" s="509"/>
      <c r="AV20" s="508"/>
      <c r="AW20" s="508"/>
      <c r="AX20" s="508"/>
      <c r="AY20" s="508"/>
      <c r="AZ20" s="508"/>
      <c r="BA20" s="508"/>
      <c r="BB20" s="508"/>
      <c r="BC20" s="508"/>
      <c r="BD20" s="508"/>
      <c r="BE20" s="508"/>
      <c r="BF20" s="508"/>
      <c r="BG20" s="508"/>
      <c r="BH20" s="508"/>
      <c r="BI20" s="508"/>
      <c r="BJ20" s="508"/>
      <c r="BK20" s="508"/>
      <c r="BL20" s="508"/>
      <c r="BM20" s="508"/>
      <c r="BN20" s="508"/>
      <c r="BO20" s="508"/>
      <c r="BP20" s="508"/>
      <c r="BQ20" s="508"/>
      <c r="BR20" s="508"/>
      <c r="BS20" s="508"/>
      <c r="BT20" s="508"/>
      <c r="BU20" s="508"/>
      <c r="BV20" s="508"/>
      <c r="BW20" s="508"/>
      <c r="BX20" s="508"/>
      <c r="BY20" s="508"/>
      <c r="BZ20" s="508"/>
      <c r="CA20" s="508"/>
      <c r="CB20" s="508"/>
      <c r="CC20" s="508"/>
      <c r="CD20" s="508"/>
      <c r="CE20" s="508"/>
      <c r="CF20" s="508"/>
      <c r="CG20" s="508"/>
      <c r="CH20" s="508"/>
      <c r="CI20" s="508"/>
      <c r="CJ20" s="508"/>
      <c r="CK20" s="508"/>
      <c r="CL20" s="508"/>
      <c r="CM20" s="508"/>
      <c r="CN20" s="508"/>
      <c r="CO20" s="508"/>
      <c r="CP20" s="508"/>
      <c r="CQ20" s="508"/>
      <c r="CR20" s="508"/>
      <c r="CS20" s="508"/>
      <c r="CT20" s="508"/>
      <c r="CU20" s="508"/>
      <c r="CV20" s="508"/>
      <c r="CW20" s="508"/>
      <c r="CX20" s="508"/>
      <c r="CY20" s="508"/>
      <c r="CZ20" s="508"/>
      <c r="DA20" s="508"/>
      <c r="DB20" s="508"/>
      <c r="DC20" s="508"/>
      <c r="DD20" s="508"/>
      <c r="DE20" s="508"/>
      <c r="DF20" s="508"/>
      <c r="DG20" s="508"/>
      <c r="DH20" s="508"/>
      <c r="DI20" s="508"/>
      <c r="DJ20" s="508"/>
      <c r="DK20" s="508"/>
      <c r="DL20" s="508"/>
      <c r="DM20" s="508"/>
      <c r="DN20" s="508"/>
      <c r="DO20" s="508"/>
      <c r="DP20" s="508"/>
      <c r="DQ20" s="508"/>
      <c r="DR20" s="508"/>
      <c r="DS20" s="508"/>
      <c r="DT20" s="508"/>
      <c r="DU20" s="508"/>
      <c r="DV20" s="508"/>
      <c r="DW20" s="508"/>
      <c r="DX20" s="508"/>
      <c r="DY20" s="508"/>
      <c r="DZ20" s="508"/>
      <c r="EA20" s="508"/>
      <c r="EB20" s="508"/>
      <c r="EC20" s="508"/>
      <c r="ED20" s="508"/>
      <c r="EE20" s="508"/>
      <c r="EF20" s="508"/>
      <c r="EG20" s="508"/>
      <c r="EH20" s="508"/>
      <c r="EI20" s="508"/>
      <c r="EJ20" s="508"/>
      <c r="EK20" s="508"/>
      <c r="EL20" s="508"/>
      <c r="EM20" s="508"/>
      <c r="EN20" s="508"/>
      <c r="EO20" s="508"/>
      <c r="EP20" s="508"/>
      <c r="EQ20" s="508"/>
      <c r="ER20" s="508"/>
      <c r="ES20" s="508"/>
      <c r="ET20" s="508"/>
      <c r="EU20" s="508"/>
      <c r="EV20" s="508"/>
      <c r="EW20" s="508"/>
      <c r="EX20" s="508"/>
      <c r="EY20" s="508"/>
      <c r="EZ20" s="508"/>
      <c r="FA20" s="508"/>
      <c r="FB20" s="508"/>
      <c r="FC20" s="508"/>
      <c r="FD20" s="508"/>
      <c r="FE20" s="508"/>
      <c r="FF20" s="508"/>
      <c r="FG20" s="508"/>
      <c r="FH20" s="508"/>
      <c r="FI20" s="508"/>
      <c r="FJ20" s="508"/>
      <c r="FK20" s="508"/>
      <c r="FL20" s="508"/>
      <c r="FM20" s="508"/>
      <c r="FN20" s="508"/>
      <c r="FO20" s="508"/>
      <c r="FP20" s="508"/>
      <c r="FQ20" s="508"/>
      <c r="FR20" s="508"/>
      <c r="FS20" s="508"/>
      <c r="FT20" s="508"/>
      <c r="FU20" s="508"/>
      <c r="FV20" s="508"/>
      <c r="FW20" s="508"/>
      <c r="FX20" s="508"/>
      <c r="FY20" s="508"/>
      <c r="FZ20" s="508"/>
      <c r="GA20" s="508"/>
      <c r="GB20" s="508"/>
      <c r="GC20" s="508"/>
      <c r="GD20" s="508"/>
      <c r="GE20" s="508"/>
      <c r="GF20" s="508"/>
      <c r="GG20" s="508"/>
      <c r="GH20" s="508"/>
      <c r="GI20" s="508"/>
      <c r="GJ20" s="508"/>
      <c r="GK20" s="508"/>
      <c r="GL20" s="508"/>
      <c r="GM20" s="508"/>
      <c r="GN20" s="508"/>
      <c r="GO20" s="508"/>
      <c r="GP20" s="508"/>
      <c r="GQ20" s="508"/>
      <c r="GR20" s="508"/>
      <c r="GS20" s="508"/>
      <c r="GT20" s="508"/>
      <c r="GU20" s="508"/>
      <c r="GV20" s="508"/>
      <c r="GW20" s="508"/>
      <c r="GX20" s="508"/>
      <c r="GY20" s="508"/>
      <c r="GZ20" s="508"/>
      <c r="HA20" s="508"/>
      <c r="HB20" s="508"/>
      <c r="HC20" s="508"/>
      <c r="HD20" s="508"/>
      <c r="HE20" s="508"/>
      <c r="HF20" s="508"/>
      <c r="HG20" s="508"/>
      <c r="HH20" s="508"/>
      <c r="HI20" s="508"/>
      <c r="HJ20" s="508"/>
      <c r="HK20" s="508"/>
      <c r="HL20" s="508"/>
      <c r="HM20" s="508"/>
      <c r="HN20" s="508"/>
      <c r="HO20" s="508"/>
      <c r="HP20" s="508"/>
      <c r="HQ20" s="508"/>
      <c r="HR20" s="508"/>
      <c r="HS20" s="508"/>
      <c r="HT20" s="508"/>
      <c r="HU20" s="508"/>
      <c r="HV20" s="508"/>
      <c r="HW20" s="508"/>
      <c r="HX20" s="508"/>
      <c r="HY20" s="508"/>
      <c r="HZ20" s="508"/>
      <c r="IA20" s="508"/>
      <c r="IB20" s="508"/>
      <c r="IC20" s="508"/>
      <c r="ID20" s="508"/>
      <c r="IE20" s="508"/>
      <c r="IF20" s="508"/>
      <c r="IG20" s="508"/>
      <c r="IH20" s="508"/>
      <c r="II20" s="508"/>
      <c r="IJ20" s="508"/>
      <c r="IK20" s="508"/>
      <c r="IL20" s="508"/>
      <c r="IM20" s="508"/>
      <c r="IN20" s="508"/>
      <c r="IO20" s="508"/>
      <c r="IP20" s="508"/>
      <c r="IQ20" s="508"/>
      <c r="IR20" s="508"/>
      <c r="IS20" s="508"/>
      <c r="IT20" s="508"/>
      <c r="IU20" s="508"/>
      <c r="IV20" s="508"/>
    </row>
    <row r="21" spans="1:256" s="506" customFormat="1" ht="13.5" customHeight="1">
      <c r="A21" s="530">
        <v>4</v>
      </c>
      <c r="B21" s="34">
        <v>221</v>
      </c>
      <c r="C21" s="34">
        <v>113107144</v>
      </c>
      <c r="D21" s="34" t="s">
        <v>211</v>
      </c>
      <c r="E21" s="34" t="s">
        <v>98</v>
      </c>
      <c r="F21" s="531">
        <f>SUM(F24)</f>
        <v>6.8</v>
      </c>
      <c r="G21" s="79"/>
      <c r="H21" s="532">
        <f>F21*G21</f>
        <v>0</v>
      </c>
      <c r="I21" s="819" t="s">
        <v>738</v>
      </c>
      <c r="J21" s="317"/>
      <c r="K21" s="551"/>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509"/>
      <c r="AM21" s="509"/>
      <c r="AN21" s="509"/>
      <c r="AO21" s="509"/>
      <c r="AP21" s="509"/>
      <c r="AQ21" s="509"/>
      <c r="AR21" s="509"/>
      <c r="AS21" s="509"/>
      <c r="AT21" s="509"/>
      <c r="AU21" s="509"/>
      <c r="AV21" s="508"/>
      <c r="AW21" s="508"/>
      <c r="AX21" s="508"/>
      <c r="AY21" s="508"/>
      <c r="AZ21" s="508"/>
      <c r="BA21" s="508"/>
      <c r="BB21" s="508"/>
      <c r="BC21" s="508"/>
      <c r="BD21" s="508"/>
      <c r="BE21" s="508"/>
      <c r="BF21" s="508"/>
      <c r="BG21" s="508"/>
      <c r="BH21" s="508"/>
      <c r="BI21" s="508"/>
      <c r="BJ21" s="508"/>
      <c r="BK21" s="508"/>
      <c r="BL21" s="508"/>
      <c r="BM21" s="508"/>
      <c r="BN21" s="508"/>
      <c r="BO21" s="508"/>
      <c r="BP21" s="508"/>
      <c r="BQ21" s="508"/>
      <c r="BR21" s="508"/>
      <c r="BS21" s="508"/>
      <c r="BT21" s="508"/>
      <c r="BU21" s="508"/>
      <c r="BV21" s="508"/>
      <c r="BW21" s="508"/>
      <c r="BX21" s="508"/>
      <c r="BY21" s="508"/>
      <c r="BZ21" s="508"/>
      <c r="CA21" s="508"/>
      <c r="CB21" s="508"/>
      <c r="CC21" s="508"/>
      <c r="CD21" s="508"/>
      <c r="CE21" s="508"/>
      <c r="CF21" s="508"/>
      <c r="CG21" s="508"/>
      <c r="CH21" s="508"/>
      <c r="CI21" s="508"/>
      <c r="CJ21" s="508"/>
      <c r="CK21" s="508"/>
      <c r="CL21" s="508"/>
      <c r="CM21" s="508"/>
      <c r="CN21" s="508"/>
      <c r="CO21" s="508"/>
      <c r="CP21" s="508"/>
      <c r="CQ21" s="508"/>
      <c r="CR21" s="508"/>
      <c r="CS21" s="508"/>
      <c r="CT21" s="508"/>
      <c r="CU21" s="508"/>
      <c r="CV21" s="508"/>
      <c r="CW21" s="508"/>
      <c r="CX21" s="508"/>
      <c r="CY21" s="508"/>
      <c r="CZ21" s="508"/>
      <c r="DA21" s="508"/>
      <c r="DB21" s="508"/>
      <c r="DC21" s="508"/>
      <c r="DD21" s="508"/>
      <c r="DE21" s="508"/>
      <c r="DF21" s="508"/>
      <c r="DG21" s="508"/>
      <c r="DH21" s="508"/>
      <c r="DI21" s="508"/>
      <c r="DJ21" s="508"/>
      <c r="DK21" s="508"/>
      <c r="DL21" s="508"/>
      <c r="DM21" s="508"/>
      <c r="DN21" s="508"/>
      <c r="DO21" s="508"/>
      <c r="DP21" s="508"/>
      <c r="DQ21" s="508"/>
      <c r="DR21" s="508"/>
      <c r="DS21" s="508"/>
      <c r="DT21" s="508"/>
      <c r="DU21" s="508"/>
      <c r="DV21" s="508"/>
      <c r="DW21" s="508"/>
      <c r="DX21" s="508"/>
      <c r="DY21" s="508"/>
      <c r="DZ21" s="508"/>
      <c r="EA21" s="508"/>
      <c r="EB21" s="508"/>
      <c r="EC21" s="508"/>
      <c r="ED21" s="508"/>
      <c r="EE21" s="508"/>
      <c r="EF21" s="508"/>
      <c r="EG21" s="508"/>
      <c r="EH21" s="508"/>
      <c r="EI21" s="508"/>
      <c r="EJ21" s="508"/>
      <c r="EK21" s="508"/>
      <c r="EL21" s="508"/>
      <c r="EM21" s="508"/>
      <c r="EN21" s="508"/>
      <c r="EO21" s="508"/>
      <c r="EP21" s="508"/>
      <c r="EQ21" s="508"/>
      <c r="ER21" s="508"/>
      <c r="ES21" s="508"/>
      <c r="ET21" s="508"/>
      <c r="EU21" s="508"/>
      <c r="EV21" s="508"/>
      <c r="EW21" s="508"/>
      <c r="EX21" s="508"/>
      <c r="EY21" s="508"/>
      <c r="EZ21" s="508"/>
      <c r="FA21" s="508"/>
      <c r="FB21" s="508"/>
      <c r="FC21" s="508"/>
      <c r="FD21" s="508"/>
      <c r="FE21" s="508"/>
      <c r="FF21" s="508"/>
      <c r="FG21" s="508"/>
      <c r="FH21" s="508"/>
      <c r="FI21" s="508"/>
      <c r="FJ21" s="508"/>
      <c r="FK21" s="508"/>
      <c r="FL21" s="508"/>
      <c r="FM21" s="508"/>
      <c r="FN21" s="508"/>
      <c r="FO21" s="508"/>
      <c r="FP21" s="508"/>
      <c r="FQ21" s="508"/>
      <c r="FR21" s="508"/>
      <c r="FS21" s="508"/>
      <c r="FT21" s="508"/>
      <c r="FU21" s="508"/>
      <c r="FV21" s="508"/>
      <c r="FW21" s="508"/>
      <c r="FX21" s="508"/>
      <c r="FY21" s="508"/>
      <c r="FZ21" s="508"/>
      <c r="GA21" s="508"/>
      <c r="GB21" s="508"/>
      <c r="GC21" s="508"/>
      <c r="GD21" s="508"/>
      <c r="GE21" s="508"/>
      <c r="GF21" s="508"/>
      <c r="GG21" s="508"/>
      <c r="GH21" s="508"/>
      <c r="GI21" s="508"/>
      <c r="GJ21" s="508"/>
      <c r="GK21" s="508"/>
      <c r="GL21" s="508"/>
      <c r="GM21" s="508"/>
      <c r="GN21" s="508"/>
      <c r="GO21" s="508"/>
      <c r="GP21" s="508"/>
      <c r="GQ21" s="508"/>
      <c r="GR21" s="508"/>
      <c r="GS21" s="508"/>
      <c r="GT21" s="508"/>
      <c r="GU21" s="508"/>
      <c r="GV21" s="508"/>
      <c r="GW21" s="508"/>
      <c r="GX21" s="508"/>
      <c r="GY21" s="508"/>
      <c r="GZ21" s="508"/>
      <c r="HA21" s="508"/>
      <c r="HB21" s="508"/>
      <c r="HC21" s="508"/>
      <c r="HD21" s="508"/>
      <c r="HE21" s="508"/>
      <c r="HF21" s="508"/>
      <c r="HG21" s="508"/>
      <c r="HH21" s="508"/>
      <c r="HI21" s="508"/>
      <c r="HJ21" s="508"/>
      <c r="HK21" s="508"/>
      <c r="HL21" s="508"/>
      <c r="HM21" s="508"/>
      <c r="HN21" s="508"/>
      <c r="HO21" s="508"/>
      <c r="HP21" s="508"/>
      <c r="HQ21" s="508"/>
      <c r="HR21" s="508"/>
      <c r="HS21" s="508"/>
      <c r="HT21" s="508"/>
      <c r="HU21" s="508"/>
      <c r="HV21" s="508"/>
      <c r="HW21" s="508"/>
      <c r="HX21" s="508"/>
      <c r="HY21" s="508"/>
      <c r="HZ21" s="508"/>
      <c r="IA21" s="508"/>
      <c r="IB21" s="508"/>
      <c r="IC21" s="508"/>
      <c r="ID21" s="508"/>
      <c r="IE21" s="508"/>
      <c r="IF21" s="508"/>
      <c r="IG21" s="508"/>
      <c r="IH21" s="508"/>
      <c r="II21" s="508"/>
      <c r="IJ21" s="508"/>
      <c r="IK21" s="508"/>
      <c r="IL21" s="508"/>
      <c r="IM21" s="508"/>
      <c r="IN21" s="508"/>
      <c r="IO21" s="508"/>
      <c r="IP21" s="508"/>
      <c r="IQ21" s="508"/>
      <c r="IR21" s="508"/>
      <c r="IS21" s="508"/>
      <c r="IT21" s="508"/>
      <c r="IU21" s="508"/>
      <c r="IV21" s="508"/>
    </row>
    <row r="22" spans="1:256" s="506" customFormat="1" ht="27" customHeight="1">
      <c r="A22" s="434"/>
      <c r="B22" s="435"/>
      <c r="C22" s="456"/>
      <c r="D22" s="547" t="s">
        <v>736</v>
      </c>
      <c r="E22" s="456"/>
      <c r="F22" s="548"/>
      <c r="G22" s="448"/>
      <c r="H22" s="448"/>
      <c r="I22" s="549"/>
      <c r="J22" s="550"/>
      <c r="K22" s="551"/>
      <c r="L22" s="452"/>
      <c r="M22" s="452"/>
      <c r="N22" s="452"/>
      <c r="O22" s="452"/>
      <c r="P22" s="452"/>
      <c r="Q22" s="452"/>
      <c r="R22" s="452"/>
      <c r="S22" s="452"/>
      <c r="T22" s="452"/>
      <c r="U22" s="452"/>
      <c r="V22" s="452"/>
      <c r="W22" s="452"/>
      <c r="X22" s="452"/>
      <c r="Y22" s="452"/>
      <c r="Z22" s="452"/>
      <c r="AA22" s="452"/>
      <c r="AB22" s="452"/>
      <c r="AC22" s="452"/>
      <c r="AD22" s="452"/>
      <c r="AE22" s="452"/>
      <c r="AF22" s="452"/>
      <c r="AG22" s="452"/>
      <c r="AH22" s="452"/>
      <c r="AI22" s="452"/>
      <c r="AJ22" s="452"/>
      <c r="AK22" s="452"/>
      <c r="AL22" s="509"/>
      <c r="AM22" s="509"/>
      <c r="AN22" s="509"/>
      <c r="AO22" s="509"/>
      <c r="AP22" s="509"/>
      <c r="AQ22" s="509"/>
      <c r="AR22" s="509"/>
      <c r="AS22" s="509"/>
      <c r="AT22" s="509"/>
      <c r="AU22" s="509"/>
      <c r="AV22" s="508"/>
      <c r="AW22" s="508"/>
      <c r="AX22" s="508"/>
      <c r="AY22" s="508"/>
      <c r="AZ22" s="508"/>
      <c r="BA22" s="508"/>
      <c r="BB22" s="508"/>
      <c r="BC22" s="508"/>
      <c r="BD22" s="508"/>
      <c r="BE22" s="508"/>
      <c r="BF22" s="508"/>
      <c r="BG22" s="508"/>
      <c r="BH22" s="508"/>
      <c r="BI22" s="508"/>
      <c r="BJ22" s="508"/>
      <c r="BK22" s="508"/>
      <c r="BL22" s="508"/>
      <c r="BM22" s="508"/>
      <c r="BN22" s="508"/>
      <c r="BO22" s="508"/>
      <c r="BP22" s="508"/>
      <c r="BQ22" s="508"/>
      <c r="BR22" s="508"/>
      <c r="BS22" s="508"/>
      <c r="BT22" s="508"/>
      <c r="BU22" s="508"/>
      <c r="BV22" s="508"/>
      <c r="BW22" s="508"/>
      <c r="BX22" s="508"/>
      <c r="BY22" s="508"/>
      <c r="BZ22" s="508"/>
      <c r="CA22" s="508"/>
      <c r="CB22" s="508"/>
      <c r="CC22" s="508"/>
      <c r="CD22" s="508"/>
      <c r="CE22" s="508"/>
      <c r="CF22" s="508"/>
      <c r="CG22" s="508"/>
      <c r="CH22" s="508"/>
      <c r="CI22" s="508"/>
      <c r="CJ22" s="508"/>
      <c r="CK22" s="508"/>
      <c r="CL22" s="508"/>
      <c r="CM22" s="508"/>
      <c r="CN22" s="508"/>
      <c r="CO22" s="508"/>
      <c r="CP22" s="508"/>
      <c r="CQ22" s="508"/>
      <c r="CR22" s="508"/>
      <c r="CS22" s="508"/>
      <c r="CT22" s="508"/>
      <c r="CU22" s="508"/>
      <c r="CV22" s="508"/>
      <c r="CW22" s="508"/>
      <c r="CX22" s="508"/>
      <c r="CY22" s="508"/>
      <c r="CZ22" s="508"/>
      <c r="DA22" s="508"/>
      <c r="DB22" s="508"/>
      <c r="DC22" s="508"/>
      <c r="DD22" s="508"/>
      <c r="DE22" s="508"/>
      <c r="DF22" s="508"/>
      <c r="DG22" s="508"/>
      <c r="DH22" s="508"/>
      <c r="DI22" s="508"/>
      <c r="DJ22" s="508"/>
      <c r="DK22" s="508"/>
      <c r="DL22" s="508"/>
      <c r="DM22" s="508"/>
      <c r="DN22" s="508"/>
      <c r="DO22" s="508"/>
      <c r="DP22" s="508"/>
      <c r="DQ22" s="508"/>
      <c r="DR22" s="508"/>
      <c r="DS22" s="508"/>
      <c r="DT22" s="508"/>
      <c r="DU22" s="508"/>
      <c r="DV22" s="508"/>
      <c r="DW22" s="508"/>
      <c r="DX22" s="508"/>
      <c r="DY22" s="508"/>
      <c r="DZ22" s="508"/>
      <c r="EA22" s="508"/>
      <c r="EB22" s="508"/>
      <c r="EC22" s="508"/>
      <c r="ED22" s="508"/>
      <c r="EE22" s="508"/>
      <c r="EF22" s="508"/>
      <c r="EG22" s="508"/>
      <c r="EH22" s="508"/>
      <c r="EI22" s="508"/>
      <c r="EJ22" s="508"/>
      <c r="EK22" s="508"/>
      <c r="EL22" s="508"/>
      <c r="EM22" s="508"/>
      <c r="EN22" s="508"/>
      <c r="EO22" s="508"/>
      <c r="EP22" s="508"/>
      <c r="EQ22" s="508"/>
      <c r="ER22" s="508"/>
      <c r="ES22" s="508"/>
      <c r="ET22" s="508"/>
      <c r="EU22" s="508"/>
      <c r="EV22" s="508"/>
      <c r="EW22" s="508"/>
      <c r="EX22" s="508"/>
      <c r="EY22" s="508"/>
      <c r="EZ22" s="508"/>
      <c r="FA22" s="508"/>
      <c r="FB22" s="508"/>
      <c r="FC22" s="508"/>
      <c r="FD22" s="508"/>
      <c r="FE22" s="508"/>
      <c r="FF22" s="508"/>
      <c r="FG22" s="508"/>
      <c r="FH22" s="508"/>
      <c r="FI22" s="508"/>
      <c r="FJ22" s="508"/>
      <c r="FK22" s="508"/>
      <c r="FL22" s="508"/>
      <c r="FM22" s="508"/>
      <c r="FN22" s="508"/>
      <c r="FO22" s="508"/>
      <c r="FP22" s="508"/>
      <c r="FQ22" s="508"/>
      <c r="FR22" s="508"/>
      <c r="FS22" s="508"/>
      <c r="FT22" s="508"/>
      <c r="FU22" s="508"/>
      <c r="FV22" s="508"/>
      <c r="FW22" s="508"/>
      <c r="FX22" s="508"/>
      <c r="FY22" s="508"/>
      <c r="FZ22" s="508"/>
      <c r="GA22" s="508"/>
      <c r="GB22" s="508"/>
      <c r="GC22" s="508"/>
      <c r="GD22" s="508"/>
      <c r="GE22" s="508"/>
      <c r="GF22" s="508"/>
      <c r="GG22" s="508"/>
      <c r="GH22" s="508"/>
      <c r="GI22" s="508"/>
      <c r="GJ22" s="508"/>
      <c r="GK22" s="508"/>
      <c r="GL22" s="508"/>
      <c r="GM22" s="508"/>
      <c r="GN22" s="508"/>
      <c r="GO22" s="508"/>
      <c r="GP22" s="508"/>
      <c r="GQ22" s="508"/>
      <c r="GR22" s="508"/>
      <c r="GS22" s="508"/>
      <c r="GT22" s="508"/>
      <c r="GU22" s="508"/>
      <c r="GV22" s="508"/>
      <c r="GW22" s="508"/>
      <c r="GX22" s="508"/>
      <c r="GY22" s="508"/>
      <c r="GZ22" s="508"/>
      <c r="HA22" s="508"/>
      <c r="HB22" s="508"/>
      <c r="HC22" s="508"/>
      <c r="HD22" s="508"/>
      <c r="HE22" s="508"/>
      <c r="HF22" s="508"/>
      <c r="HG22" s="508"/>
      <c r="HH22" s="508"/>
      <c r="HI22" s="508"/>
      <c r="HJ22" s="508"/>
      <c r="HK22" s="508"/>
      <c r="HL22" s="508"/>
      <c r="HM22" s="508"/>
      <c r="HN22" s="508"/>
      <c r="HO22" s="508"/>
      <c r="HP22" s="508"/>
      <c r="HQ22" s="508"/>
      <c r="HR22" s="508"/>
      <c r="HS22" s="508"/>
      <c r="HT22" s="508"/>
      <c r="HU22" s="508"/>
      <c r="HV22" s="508"/>
      <c r="HW22" s="508"/>
      <c r="HX22" s="508"/>
      <c r="HY22" s="508"/>
      <c r="HZ22" s="508"/>
      <c r="IA22" s="508"/>
      <c r="IB22" s="508"/>
      <c r="IC22" s="508"/>
      <c r="ID22" s="508"/>
      <c r="IE22" s="508"/>
      <c r="IF22" s="508"/>
      <c r="IG22" s="508"/>
      <c r="IH22" s="508"/>
      <c r="II22" s="508"/>
      <c r="IJ22" s="508"/>
      <c r="IK22" s="508"/>
      <c r="IL22" s="508"/>
      <c r="IM22" s="508"/>
      <c r="IN22" s="508"/>
      <c r="IO22" s="508"/>
      <c r="IP22" s="508"/>
      <c r="IQ22" s="508"/>
      <c r="IR22" s="508"/>
      <c r="IS22" s="508"/>
      <c r="IT22" s="508"/>
      <c r="IU22" s="508"/>
      <c r="IV22" s="508"/>
    </row>
    <row r="23" spans="1:256" s="506" customFormat="1" ht="27" customHeight="1">
      <c r="A23" s="434"/>
      <c r="B23" s="435"/>
      <c r="C23" s="456"/>
      <c r="D23" s="456" t="s">
        <v>821</v>
      </c>
      <c r="E23" s="456"/>
      <c r="F23" s="1002" t="s">
        <v>457</v>
      </c>
      <c r="G23" s="1003"/>
      <c r="H23" s="1004"/>
      <c r="I23" s="549"/>
      <c r="J23" s="550"/>
      <c r="K23" s="452"/>
      <c r="L23" s="452"/>
      <c r="M23" s="452"/>
      <c r="N23" s="452"/>
      <c r="O23" s="452"/>
      <c r="P23" s="452"/>
      <c r="Q23" s="452"/>
      <c r="R23" s="452"/>
      <c r="S23" s="452"/>
      <c r="T23" s="452"/>
      <c r="U23" s="452"/>
      <c r="V23" s="452"/>
      <c r="W23" s="452"/>
      <c r="X23" s="452"/>
      <c r="Y23" s="452"/>
      <c r="Z23" s="452"/>
      <c r="AA23" s="452"/>
      <c r="AB23" s="452"/>
      <c r="AC23" s="452"/>
      <c r="AD23" s="452"/>
      <c r="AE23" s="452"/>
      <c r="AF23" s="452"/>
      <c r="AG23" s="452"/>
      <c r="AH23" s="452"/>
      <c r="AI23" s="452"/>
      <c r="AJ23" s="452"/>
      <c r="AK23" s="452"/>
      <c r="AL23" s="509"/>
      <c r="AM23" s="509"/>
      <c r="AN23" s="509"/>
      <c r="AO23" s="509"/>
      <c r="AP23" s="509"/>
      <c r="AQ23" s="509"/>
      <c r="AR23" s="509"/>
      <c r="AS23" s="509"/>
      <c r="AT23" s="509"/>
      <c r="AU23" s="509"/>
      <c r="AV23" s="508"/>
      <c r="AW23" s="508"/>
      <c r="AX23" s="508"/>
      <c r="AY23" s="508"/>
      <c r="AZ23" s="508"/>
      <c r="BA23" s="508"/>
      <c r="BB23" s="508"/>
      <c r="BC23" s="508"/>
      <c r="BD23" s="508"/>
      <c r="BE23" s="508"/>
      <c r="BF23" s="508"/>
      <c r="BG23" s="508"/>
      <c r="BH23" s="508"/>
      <c r="BI23" s="508"/>
      <c r="BJ23" s="508"/>
      <c r="BK23" s="508"/>
      <c r="BL23" s="508"/>
      <c r="BM23" s="508"/>
      <c r="BN23" s="508"/>
      <c r="BO23" s="508"/>
      <c r="BP23" s="508"/>
      <c r="BQ23" s="508"/>
      <c r="BR23" s="508"/>
      <c r="BS23" s="508"/>
      <c r="BT23" s="508"/>
      <c r="BU23" s="508"/>
      <c r="BV23" s="508"/>
      <c r="BW23" s="508"/>
      <c r="BX23" s="508"/>
      <c r="BY23" s="508"/>
      <c r="BZ23" s="508"/>
      <c r="CA23" s="508"/>
      <c r="CB23" s="508"/>
      <c r="CC23" s="508"/>
      <c r="CD23" s="508"/>
      <c r="CE23" s="508"/>
      <c r="CF23" s="508"/>
      <c r="CG23" s="508"/>
      <c r="CH23" s="508"/>
      <c r="CI23" s="508"/>
      <c r="CJ23" s="508"/>
      <c r="CK23" s="508"/>
      <c r="CL23" s="508"/>
      <c r="CM23" s="508"/>
      <c r="CN23" s="508"/>
      <c r="CO23" s="508"/>
      <c r="CP23" s="508"/>
      <c r="CQ23" s="508"/>
      <c r="CR23" s="508"/>
      <c r="CS23" s="508"/>
      <c r="CT23" s="508"/>
      <c r="CU23" s="508"/>
      <c r="CV23" s="508"/>
      <c r="CW23" s="508"/>
      <c r="CX23" s="508"/>
      <c r="CY23" s="508"/>
      <c r="CZ23" s="508"/>
      <c r="DA23" s="508"/>
      <c r="DB23" s="508"/>
      <c r="DC23" s="508"/>
      <c r="DD23" s="508"/>
      <c r="DE23" s="508"/>
      <c r="DF23" s="508"/>
      <c r="DG23" s="508"/>
      <c r="DH23" s="508"/>
      <c r="DI23" s="508"/>
      <c r="DJ23" s="508"/>
      <c r="DK23" s="508"/>
      <c r="DL23" s="508"/>
      <c r="DM23" s="508"/>
      <c r="DN23" s="508"/>
      <c r="DO23" s="508"/>
      <c r="DP23" s="508"/>
      <c r="DQ23" s="508"/>
      <c r="DR23" s="508"/>
      <c r="DS23" s="508"/>
      <c r="DT23" s="508"/>
      <c r="DU23" s="508"/>
      <c r="DV23" s="508"/>
      <c r="DW23" s="508"/>
      <c r="DX23" s="508"/>
      <c r="DY23" s="508"/>
      <c r="DZ23" s="508"/>
      <c r="EA23" s="508"/>
      <c r="EB23" s="508"/>
      <c r="EC23" s="508"/>
      <c r="ED23" s="508"/>
      <c r="EE23" s="508"/>
      <c r="EF23" s="508"/>
      <c r="EG23" s="508"/>
      <c r="EH23" s="508"/>
      <c r="EI23" s="508"/>
      <c r="EJ23" s="508"/>
      <c r="EK23" s="508"/>
      <c r="EL23" s="508"/>
      <c r="EM23" s="508"/>
      <c r="EN23" s="508"/>
      <c r="EO23" s="508"/>
      <c r="EP23" s="508"/>
      <c r="EQ23" s="508"/>
      <c r="ER23" s="508"/>
      <c r="ES23" s="508"/>
      <c r="ET23" s="508"/>
      <c r="EU23" s="508"/>
      <c r="EV23" s="508"/>
      <c r="EW23" s="508"/>
      <c r="EX23" s="508"/>
      <c r="EY23" s="508"/>
      <c r="EZ23" s="508"/>
      <c r="FA23" s="508"/>
      <c r="FB23" s="508"/>
      <c r="FC23" s="508"/>
      <c r="FD23" s="508"/>
      <c r="FE23" s="508"/>
      <c r="FF23" s="508"/>
      <c r="FG23" s="508"/>
      <c r="FH23" s="508"/>
      <c r="FI23" s="508"/>
      <c r="FJ23" s="508"/>
      <c r="FK23" s="508"/>
      <c r="FL23" s="508"/>
      <c r="FM23" s="508"/>
      <c r="FN23" s="508"/>
      <c r="FO23" s="508"/>
      <c r="FP23" s="508"/>
      <c r="FQ23" s="508"/>
      <c r="FR23" s="508"/>
      <c r="FS23" s="508"/>
      <c r="FT23" s="508"/>
      <c r="FU23" s="508"/>
      <c r="FV23" s="508"/>
      <c r="FW23" s="508"/>
      <c r="FX23" s="508"/>
      <c r="FY23" s="508"/>
      <c r="FZ23" s="508"/>
      <c r="GA23" s="508"/>
      <c r="GB23" s="508"/>
      <c r="GC23" s="508"/>
      <c r="GD23" s="508"/>
      <c r="GE23" s="508"/>
      <c r="GF23" s="508"/>
      <c r="GG23" s="508"/>
      <c r="GH23" s="508"/>
      <c r="GI23" s="508"/>
      <c r="GJ23" s="508"/>
      <c r="GK23" s="508"/>
      <c r="GL23" s="508"/>
      <c r="GM23" s="508"/>
      <c r="GN23" s="508"/>
      <c r="GO23" s="508"/>
      <c r="GP23" s="508"/>
      <c r="GQ23" s="508"/>
      <c r="GR23" s="508"/>
      <c r="GS23" s="508"/>
      <c r="GT23" s="508"/>
      <c r="GU23" s="508"/>
      <c r="GV23" s="508"/>
      <c r="GW23" s="508"/>
      <c r="GX23" s="508"/>
      <c r="GY23" s="508"/>
      <c r="GZ23" s="508"/>
      <c r="HA23" s="508"/>
      <c r="HB23" s="508"/>
      <c r="HC23" s="508"/>
      <c r="HD23" s="508"/>
      <c r="HE23" s="508"/>
      <c r="HF23" s="508"/>
      <c r="HG23" s="508"/>
      <c r="HH23" s="508"/>
      <c r="HI23" s="508"/>
      <c r="HJ23" s="508"/>
      <c r="HK23" s="508"/>
      <c r="HL23" s="508"/>
      <c r="HM23" s="508"/>
      <c r="HN23" s="508"/>
      <c r="HO23" s="508"/>
      <c r="HP23" s="508"/>
      <c r="HQ23" s="508"/>
      <c r="HR23" s="508"/>
      <c r="HS23" s="508"/>
      <c r="HT23" s="508"/>
      <c r="HU23" s="508"/>
      <c r="HV23" s="508"/>
      <c r="HW23" s="508"/>
      <c r="HX23" s="508"/>
      <c r="HY23" s="508"/>
      <c r="HZ23" s="508"/>
      <c r="IA23" s="508"/>
      <c r="IB23" s="508"/>
      <c r="IC23" s="508"/>
      <c r="ID23" s="508"/>
      <c r="IE23" s="508"/>
      <c r="IF23" s="508"/>
      <c r="IG23" s="508"/>
      <c r="IH23" s="508"/>
      <c r="II23" s="508"/>
      <c r="IJ23" s="508"/>
      <c r="IK23" s="508"/>
      <c r="IL23" s="508"/>
      <c r="IM23" s="508"/>
      <c r="IN23" s="508"/>
      <c r="IO23" s="508"/>
      <c r="IP23" s="508"/>
      <c r="IQ23" s="508"/>
      <c r="IR23" s="508"/>
      <c r="IS23" s="508"/>
      <c r="IT23" s="508"/>
      <c r="IU23" s="508"/>
      <c r="IV23" s="508"/>
    </row>
    <row r="24" spans="1:256" s="506" customFormat="1" ht="13.5" customHeight="1">
      <c r="A24" s="434"/>
      <c r="B24" s="435"/>
      <c r="C24" s="456"/>
      <c r="D24" s="456" t="s">
        <v>459</v>
      </c>
      <c r="E24" s="456"/>
      <c r="F24" s="548">
        <f>(6.8)*1</f>
        <v>6.8</v>
      </c>
      <c r="G24" s="448"/>
      <c r="H24" s="448"/>
      <c r="I24" s="549"/>
      <c r="J24" s="550"/>
      <c r="K24" s="452"/>
      <c r="L24" s="452"/>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509"/>
      <c r="AM24" s="509"/>
      <c r="AN24" s="509"/>
      <c r="AO24" s="509"/>
      <c r="AP24" s="509"/>
      <c r="AQ24" s="509"/>
      <c r="AR24" s="509"/>
      <c r="AS24" s="509"/>
      <c r="AT24" s="509"/>
      <c r="AU24" s="509"/>
      <c r="AV24" s="508"/>
      <c r="AW24" s="508"/>
      <c r="AX24" s="508"/>
      <c r="AY24" s="508"/>
      <c r="AZ24" s="508"/>
      <c r="BA24" s="508"/>
      <c r="BB24" s="508"/>
      <c r="BC24" s="508"/>
      <c r="BD24" s="508"/>
      <c r="BE24" s="508"/>
      <c r="BF24" s="508"/>
      <c r="BG24" s="508"/>
      <c r="BH24" s="508"/>
      <c r="BI24" s="508"/>
      <c r="BJ24" s="508"/>
      <c r="BK24" s="508"/>
      <c r="BL24" s="508"/>
      <c r="BM24" s="508"/>
      <c r="BN24" s="508"/>
      <c r="BO24" s="508"/>
      <c r="BP24" s="508"/>
      <c r="BQ24" s="508"/>
      <c r="BR24" s="508"/>
      <c r="BS24" s="508"/>
      <c r="BT24" s="508"/>
      <c r="BU24" s="508"/>
      <c r="BV24" s="508"/>
      <c r="BW24" s="508"/>
      <c r="BX24" s="508"/>
      <c r="BY24" s="508"/>
      <c r="BZ24" s="508"/>
      <c r="CA24" s="508"/>
      <c r="CB24" s="508"/>
      <c r="CC24" s="508"/>
      <c r="CD24" s="508"/>
      <c r="CE24" s="508"/>
      <c r="CF24" s="508"/>
      <c r="CG24" s="508"/>
      <c r="CH24" s="508"/>
      <c r="CI24" s="508"/>
      <c r="CJ24" s="508"/>
      <c r="CK24" s="508"/>
      <c r="CL24" s="508"/>
      <c r="CM24" s="508"/>
      <c r="CN24" s="508"/>
      <c r="CO24" s="508"/>
      <c r="CP24" s="508"/>
      <c r="CQ24" s="508"/>
      <c r="CR24" s="508"/>
      <c r="CS24" s="508"/>
      <c r="CT24" s="508"/>
      <c r="CU24" s="508"/>
      <c r="CV24" s="508"/>
      <c r="CW24" s="508"/>
      <c r="CX24" s="508"/>
      <c r="CY24" s="508"/>
      <c r="CZ24" s="508"/>
      <c r="DA24" s="508"/>
      <c r="DB24" s="508"/>
      <c r="DC24" s="508"/>
      <c r="DD24" s="508"/>
      <c r="DE24" s="508"/>
      <c r="DF24" s="508"/>
      <c r="DG24" s="508"/>
      <c r="DH24" s="508"/>
      <c r="DI24" s="508"/>
      <c r="DJ24" s="508"/>
      <c r="DK24" s="508"/>
      <c r="DL24" s="508"/>
      <c r="DM24" s="508"/>
      <c r="DN24" s="508"/>
      <c r="DO24" s="508"/>
      <c r="DP24" s="508"/>
      <c r="DQ24" s="508"/>
      <c r="DR24" s="508"/>
      <c r="DS24" s="508"/>
      <c r="DT24" s="508"/>
      <c r="DU24" s="508"/>
      <c r="DV24" s="508"/>
      <c r="DW24" s="508"/>
      <c r="DX24" s="508"/>
      <c r="DY24" s="508"/>
      <c r="DZ24" s="508"/>
      <c r="EA24" s="508"/>
      <c r="EB24" s="508"/>
      <c r="EC24" s="508"/>
      <c r="ED24" s="508"/>
      <c r="EE24" s="508"/>
      <c r="EF24" s="508"/>
      <c r="EG24" s="508"/>
      <c r="EH24" s="508"/>
      <c r="EI24" s="508"/>
      <c r="EJ24" s="508"/>
      <c r="EK24" s="508"/>
      <c r="EL24" s="508"/>
      <c r="EM24" s="508"/>
      <c r="EN24" s="508"/>
      <c r="EO24" s="508"/>
      <c r="EP24" s="508"/>
      <c r="EQ24" s="508"/>
      <c r="ER24" s="508"/>
      <c r="ES24" s="508"/>
      <c r="ET24" s="508"/>
      <c r="EU24" s="508"/>
      <c r="EV24" s="508"/>
      <c r="EW24" s="508"/>
      <c r="EX24" s="508"/>
      <c r="EY24" s="508"/>
      <c r="EZ24" s="508"/>
      <c r="FA24" s="508"/>
      <c r="FB24" s="508"/>
      <c r="FC24" s="508"/>
      <c r="FD24" s="508"/>
      <c r="FE24" s="508"/>
      <c r="FF24" s="508"/>
      <c r="FG24" s="508"/>
      <c r="FH24" s="508"/>
      <c r="FI24" s="508"/>
      <c r="FJ24" s="508"/>
      <c r="FK24" s="508"/>
      <c r="FL24" s="508"/>
      <c r="FM24" s="508"/>
      <c r="FN24" s="508"/>
      <c r="FO24" s="508"/>
      <c r="FP24" s="508"/>
      <c r="FQ24" s="508"/>
      <c r="FR24" s="508"/>
      <c r="FS24" s="508"/>
      <c r="FT24" s="508"/>
      <c r="FU24" s="508"/>
      <c r="FV24" s="508"/>
      <c r="FW24" s="508"/>
      <c r="FX24" s="508"/>
      <c r="FY24" s="508"/>
      <c r="FZ24" s="508"/>
      <c r="GA24" s="508"/>
      <c r="GB24" s="508"/>
      <c r="GC24" s="508"/>
      <c r="GD24" s="508"/>
      <c r="GE24" s="508"/>
      <c r="GF24" s="508"/>
      <c r="GG24" s="508"/>
      <c r="GH24" s="508"/>
      <c r="GI24" s="508"/>
      <c r="GJ24" s="508"/>
      <c r="GK24" s="508"/>
      <c r="GL24" s="508"/>
      <c r="GM24" s="508"/>
      <c r="GN24" s="508"/>
      <c r="GO24" s="508"/>
      <c r="GP24" s="508"/>
      <c r="GQ24" s="508"/>
      <c r="GR24" s="508"/>
      <c r="GS24" s="508"/>
      <c r="GT24" s="508"/>
      <c r="GU24" s="508"/>
      <c r="GV24" s="508"/>
      <c r="GW24" s="508"/>
      <c r="GX24" s="508"/>
      <c r="GY24" s="508"/>
      <c r="GZ24" s="508"/>
      <c r="HA24" s="508"/>
      <c r="HB24" s="508"/>
      <c r="HC24" s="508"/>
      <c r="HD24" s="508"/>
      <c r="HE24" s="508"/>
      <c r="HF24" s="508"/>
      <c r="HG24" s="508"/>
      <c r="HH24" s="508"/>
      <c r="HI24" s="508"/>
      <c r="HJ24" s="508"/>
      <c r="HK24" s="508"/>
      <c r="HL24" s="508"/>
      <c r="HM24" s="508"/>
      <c r="HN24" s="508"/>
      <c r="HO24" s="508"/>
      <c r="HP24" s="508"/>
      <c r="HQ24" s="508"/>
      <c r="HR24" s="508"/>
      <c r="HS24" s="508"/>
      <c r="HT24" s="508"/>
      <c r="HU24" s="508"/>
      <c r="HV24" s="508"/>
      <c r="HW24" s="508"/>
      <c r="HX24" s="508"/>
      <c r="HY24" s="508"/>
      <c r="HZ24" s="508"/>
      <c r="IA24" s="508"/>
      <c r="IB24" s="508"/>
      <c r="IC24" s="508"/>
      <c r="ID24" s="508"/>
      <c r="IE24" s="508"/>
      <c r="IF24" s="508"/>
      <c r="IG24" s="508"/>
      <c r="IH24" s="508"/>
      <c r="II24" s="508"/>
      <c r="IJ24" s="508"/>
      <c r="IK24" s="508"/>
      <c r="IL24" s="508"/>
      <c r="IM24" s="508"/>
      <c r="IN24" s="508"/>
      <c r="IO24" s="508"/>
      <c r="IP24" s="508"/>
      <c r="IQ24" s="508"/>
      <c r="IR24" s="508"/>
      <c r="IS24" s="508"/>
      <c r="IT24" s="508"/>
      <c r="IU24" s="508"/>
      <c r="IV24" s="508"/>
    </row>
    <row r="25" spans="1:256" s="506" customFormat="1" ht="27" customHeight="1">
      <c r="A25" s="434"/>
      <c r="B25" s="435"/>
      <c r="C25" s="456"/>
      <c r="D25" s="547" t="s">
        <v>445</v>
      </c>
      <c r="E25" s="456"/>
      <c r="F25" s="548"/>
      <c r="G25" s="448"/>
      <c r="H25" s="448"/>
      <c r="I25" s="549"/>
      <c r="J25" s="550"/>
      <c r="K25" s="551"/>
      <c r="L25" s="452"/>
      <c r="M25" s="452"/>
      <c r="N25" s="452"/>
      <c r="O25" s="452"/>
      <c r="P25" s="452"/>
      <c r="Q25" s="452"/>
      <c r="R25" s="452"/>
      <c r="S25" s="452"/>
      <c r="T25" s="452"/>
      <c r="U25" s="452"/>
      <c r="V25" s="452"/>
      <c r="W25" s="452"/>
      <c r="X25" s="452"/>
      <c r="Y25" s="452"/>
      <c r="Z25" s="452"/>
      <c r="AA25" s="452"/>
      <c r="AB25" s="452"/>
      <c r="AC25" s="452"/>
      <c r="AD25" s="452"/>
      <c r="AE25" s="452"/>
      <c r="AF25" s="452"/>
      <c r="AG25" s="452"/>
      <c r="AH25" s="452"/>
      <c r="AI25" s="452"/>
      <c r="AJ25" s="452"/>
      <c r="AK25" s="452"/>
      <c r="AL25" s="509"/>
      <c r="AM25" s="509"/>
      <c r="AN25" s="509"/>
      <c r="AO25" s="509"/>
      <c r="AP25" s="509"/>
      <c r="AQ25" s="509"/>
      <c r="AR25" s="509"/>
      <c r="AS25" s="509"/>
      <c r="AT25" s="509"/>
      <c r="AU25" s="509"/>
      <c r="AV25" s="508"/>
      <c r="AW25" s="508"/>
      <c r="AX25" s="508"/>
      <c r="AY25" s="508"/>
      <c r="AZ25" s="508"/>
      <c r="BA25" s="508"/>
      <c r="BB25" s="508"/>
      <c r="BC25" s="508"/>
      <c r="BD25" s="508"/>
      <c r="BE25" s="508"/>
      <c r="BF25" s="508"/>
      <c r="BG25" s="508"/>
      <c r="BH25" s="508"/>
      <c r="BI25" s="508"/>
      <c r="BJ25" s="508"/>
      <c r="BK25" s="508"/>
      <c r="BL25" s="508"/>
      <c r="BM25" s="508"/>
      <c r="BN25" s="508"/>
      <c r="BO25" s="508"/>
      <c r="BP25" s="508"/>
      <c r="BQ25" s="508"/>
      <c r="BR25" s="508"/>
      <c r="BS25" s="508"/>
      <c r="BT25" s="508"/>
      <c r="BU25" s="508"/>
      <c r="BV25" s="508"/>
      <c r="BW25" s="508"/>
      <c r="BX25" s="508"/>
      <c r="BY25" s="508"/>
      <c r="BZ25" s="508"/>
      <c r="CA25" s="508"/>
      <c r="CB25" s="508"/>
      <c r="CC25" s="508"/>
      <c r="CD25" s="508"/>
      <c r="CE25" s="508"/>
      <c r="CF25" s="508"/>
      <c r="CG25" s="508"/>
      <c r="CH25" s="508"/>
      <c r="CI25" s="508"/>
      <c r="CJ25" s="508"/>
      <c r="CK25" s="508"/>
      <c r="CL25" s="508"/>
      <c r="CM25" s="508"/>
      <c r="CN25" s="508"/>
      <c r="CO25" s="508"/>
      <c r="CP25" s="508"/>
      <c r="CQ25" s="508"/>
      <c r="CR25" s="508"/>
      <c r="CS25" s="508"/>
      <c r="CT25" s="508"/>
      <c r="CU25" s="508"/>
      <c r="CV25" s="508"/>
      <c r="CW25" s="508"/>
      <c r="CX25" s="508"/>
      <c r="CY25" s="508"/>
      <c r="CZ25" s="508"/>
      <c r="DA25" s="508"/>
      <c r="DB25" s="508"/>
      <c r="DC25" s="508"/>
      <c r="DD25" s="508"/>
      <c r="DE25" s="508"/>
      <c r="DF25" s="508"/>
      <c r="DG25" s="508"/>
      <c r="DH25" s="508"/>
      <c r="DI25" s="508"/>
      <c r="DJ25" s="508"/>
      <c r="DK25" s="508"/>
      <c r="DL25" s="508"/>
      <c r="DM25" s="508"/>
      <c r="DN25" s="508"/>
      <c r="DO25" s="508"/>
      <c r="DP25" s="508"/>
      <c r="DQ25" s="508"/>
      <c r="DR25" s="508"/>
      <c r="DS25" s="508"/>
      <c r="DT25" s="508"/>
      <c r="DU25" s="508"/>
      <c r="DV25" s="508"/>
      <c r="DW25" s="508"/>
      <c r="DX25" s="508"/>
      <c r="DY25" s="508"/>
      <c r="DZ25" s="508"/>
      <c r="EA25" s="508"/>
      <c r="EB25" s="508"/>
      <c r="EC25" s="508"/>
      <c r="ED25" s="508"/>
      <c r="EE25" s="508"/>
      <c r="EF25" s="508"/>
      <c r="EG25" s="508"/>
      <c r="EH25" s="508"/>
      <c r="EI25" s="508"/>
      <c r="EJ25" s="508"/>
      <c r="EK25" s="508"/>
      <c r="EL25" s="508"/>
      <c r="EM25" s="508"/>
      <c r="EN25" s="508"/>
      <c r="EO25" s="508"/>
      <c r="EP25" s="508"/>
      <c r="EQ25" s="508"/>
      <c r="ER25" s="508"/>
      <c r="ES25" s="508"/>
      <c r="ET25" s="508"/>
      <c r="EU25" s="508"/>
      <c r="EV25" s="508"/>
      <c r="EW25" s="508"/>
      <c r="EX25" s="508"/>
      <c r="EY25" s="508"/>
      <c r="EZ25" s="508"/>
      <c r="FA25" s="508"/>
      <c r="FB25" s="508"/>
      <c r="FC25" s="508"/>
      <c r="FD25" s="508"/>
      <c r="FE25" s="508"/>
      <c r="FF25" s="508"/>
      <c r="FG25" s="508"/>
      <c r="FH25" s="508"/>
      <c r="FI25" s="508"/>
      <c r="FJ25" s="508"/>
      <c r="FK25" s="508"/>
      <c r="FL25" s="508"/>
      <c r="FM25" s="508"/>
      <c r="FN25" s="508"/>
      <c r="FO25" s="508"/>
      <c r="FP25" s="508"/>
      <c r="FQ25" s="508"/>
      <c r="FR25" s="508"/>
      <c r="FS25" s="508"/>
      <c r="FT25" s="508"/>
      <c r="FU25" s="508"/>
      <c r="FV25" s="508"/>
      <c r="FW25" s="508"/>
      <c r="FX25" s="508"/>
      <c r="FY25" s="508"/>
      <c r="FZ25" s="508"/>
      <c r="GA25" s="508"/>
      <c r="GB25" s="508"/>
      <c r="GC25" s="508"/>
      <c r="GD25" s="508"/>
      <c r="GE25" s="508"/>
      <c r="GF25" s="508"/>
      <c r="GG25" s="508"/>
      <c r="GH25" s="508"/>
      <c r="GI25" s="508"/>
      <c r="GJ25" s="508"/>
      <c r="GK25" s="508"/>
      <c r="GL25" s="508"/>
      <c r="GM25" s="508"/>
      <c r="GN25" s="508"/>
      <c r="GO25" s="508"/>
      <c r="GP25" s="508"/>
      <c r="GQ25" s="508"/>
      <c r="GR25" s="508"/>
      <c r="GS25" s="508"/>
      <c r="GT25" s="508"/>
      <c r="GU25" s="508"/>
      <c r="GV25" s="508"/>
      <c r="GW25" s="508"/>
      <c r="GX25" s="508"/>
      <c r="GY25" s="508"/>
      <c r="GZ25" s="508"/>
      <c r="HA25" s="508"/>
      <c r="HB25" s="508"/>
      <c r="HC25" s="508"/>
      <c r="HD25" s="508"/>
      <c r="HE25" s="508"/>
      <c r="HF25" s="508"/>
      <c r="HG25" s="508"/>
      <c r="HH25" s="508"/>
      <c r="HI25" s="508"/>
      <c r="HJ25" s="508"/>
      <c r="HK25" s="508"/>
      <c r="HL25" s="508"/>
      <c r="HM25" s="508"/>
      <c r="HN25" s="508"/>
      <c r="HO25" s="508"/>
      <c r="HP25" s="508"/>
      <c r="HQ25" s="508"/>
      <c r="HR25" s="508"/>
      <c r="HS25" s="508"/>
      <c r="HT25" s="508"/>
      <c r="HU25" s="508"/>
      <c r="HV25" s="508"/>
      <c r="HW25" s="508"/>
      <c r="HX25" s="508"/>
      <c r="HY25" s="508"/>
      <c r="HZ25" s="508"/>
      <c r="IA25" s="508"/>
      <c r="IB25" s="508"/>
      <c r="IC25" s="508"/>
      <c r="ID25" s="508"/>
      <c r="IE25" s="508"/>
      <c r="IF25" s="508"/>
      <c r="IG25" s="508"/>
      <c r="IH25" s="508"/>
      <c r="II25" s="508"/>
      <c r="IJ25" s="508"/>
      <c r="IK25" s="508"/>
      <c r="IL25" s="508"/>
      <c r="IM25" s="508"/>
      <c r="IN25" s="508"/>
      <c r="IO25" s="508"/>
      <c r="IP25" s="508"/>
      <c r="IQ25" s="508"/>
      <c r="IR25" s="508"/>
      <c r="IS25" s="508"/>
      <c r="IT25" s="508"/>
      <c r="IU25" s="508"/>
      <c r="IV25" s="508"/>
    </row>
    <row r="26" spans="1:256" s="29" customFormat="1" ht="13.5" customHeight="1">
      <c r="A26" s="45" t="s">
        <v>82</v>
      </c>
      <c r="B26" s="78" t="s">
        <v>119</v>
      </c>
      <c r="C26" s="43">
        <v>113202111</v>
      </c>
      <c r="D26" s="43" t="s">
        <v>114</v>
      </c>
      <c r="E26" s="43" t="s">
        <v>115</v>
      </c>
      <c r="F26" s="35">
        <f>F27</f>
        <v>3</v>
      </c>
      <c r="G26" s="1111"/>
      <c r="H26" s="84">
        <f>F26*G26</f>
        <v>0</v>
      </c>
      <c r="I26" s="819" t="s">
        <v>738</v>
      </c>
      <c r="J26" s="550"/>
      <c r="K26" s="823"/>
      <c r="L26" s="452"/>
      <c r="M26" s="452"/>
      <c r="N26" s="452"/>
      <c r="O26" s="452"/>
      <c r="P26" s="452"/>
      <c r="Q26" s="452"/>
      <c r="R26" s="452"/>
      <c r="S26" s="452"/>
      <c r="T26" s="452"/>
      <c r="U26" s="452"/>
      <c r="V26" s="452"/>
      <c r="W26" s="452"/>
      <c r="X26" s="452"/>
      <c r="Y26" s="452"/>
      <c r="Z26" s="452"/>
      <c r="AA26" s="452"/>
      <c r="AB26" s="452"/>
      <c r="AC26" s="452"/>
      <c r="AD26" s="452"/>
      <c r="AE26" s="452"/>
      <c r="AF26" s="452"/>
      <c r="AG26" s="452"/>
      <c r="AH26" s="452"/>
      <c r="AI26" s="452"/>
      <c r="AJ26" s="452"/>
      <c r="AK26" s="452"/>
      <c r="AL26" s="509"/>
      <c r="AM26" s="509"/>
      <c r="AN26" s="509"/>
      <c r="AO26" s="509"/>
      <c r="AP26" s="509"/>
      <c r="AQ26" s="509"/>
      <c r="AR26" s="509"/>
      <c r="AS26" s="509"/>
      <c r="AT26" s="509"/>
      <c r="AU26" s="509"/>
      <c r="AV26" s="508"/>
      <c r="AW26" s="508"/>
      <c r="AX26" s="508"/>
    </row>
    <row r="27" spans="1:256" s="29" customFormat="1" ht="13.5" customHeight="1">
      <c r="A27" s="45"/>
      <c r="B27" s="78"/>
      <c r="C27" s="43"/>
      <c r="D27" s="46" t="s">
        <v>831</v>
      </c>
      <c r="E27" s="43"/>
      <c r="F27" s="47">
        <f>(3)</f>
        <v>3</v>
      </c>
      <c r="G27" s="84"/>
      <c r="H27" s="84"/>
      <c r="I27" s="44"/>
      <c r="J27" s="823"/>
      <c r="K27" s="551"/>
      <c r="L27" s="509"/>
      <c r="M27" s="509"/>
      <c r="N27" s="509"/>
      <c r="O27" s="509"/>
      <c r="P27" s="509"/>
      <c r="Q27" s="509"/>
      <c r="R27" s="509"/>
      <c r="S27" s="509"/>
      <c r="T27" s="509"/>
      <c r="U27" s="509"/>
      <c r="V27" s="509"/>
      <c r="W27" s="509"/>
      <c r="X27" s="509"/>
      <c r="Y27" s="509"/>
      <c r="Z27" s="509"/>
      <c r="AA27" s="509"/>
      <c r="AB27" s="509"/>
      <c r="AC27" s="509"/>
      <c r="AD27" s="509"/>
      <c r="AE27" s="509"/>
      <c r="AF27" s="509"/>
      <c r="AG27" s="509"/>
      <c r="AH27" s="509"/>
      <c r="AI27" s="509"/>
      <c r="AJ27" s="509"/>
      <c r="AK27" s="509"/>
      <c r="AL27" s="509"/>
      <c r="AM27" s="509"/>
      <c r="AN27" s="509"/>
      <c r="AO27" s="509"/>
      <c r="AP27" s="509"/>
      <c r="AQ27" s="509"/>
      <c r="AR27" s="509"/>
      <c r="AS27" s="509"/>
      <c r="AT27" s="509"/>
      <c r="AU27" s="509"/>
      <c r="AV27" s="508"/>
      <c r="AW27" s="508"/>
      <c r="AX27" s="508"/>
    </row>
    <row r="28" spans="1:256" s="508" customFormat="1" ht="13.5" customHeight="1">
      <c r="A28" s="434"/>
      <c r="B28" s="435"/>
      <c r="C28" s="456"/>
      <c r="D28" s="456" t="s">
        <v>116</v>
      </c>
      <c r="E28" s="456"/>
      <c r="F28" s="548"/>
      <c r="G28" s="448"/>
      <c r="H28" s="448"/>
      <c r="I28" s="549"/>
      <c r="J28" s="952"/>
      <c r="K28" s="509"/>
      <c r="L28" s="509"/>
      <c r="M28" s="509"/>
      <c r="N28" s="509"/>
      <c r="O28" s="509"/>
      <c r="P28" s="509"/>
      <c r="Q28" s="509"/>
      <c r="R28" s="509"/>
      <c r="S28" s="509"/>
      <c r="T28" s="509"/>
      <c r="U28" s="509"/>
      <c r="V28" s="509"/>
      <c r="W28" s="509"/>
      <c r="X28" s="509"/>
      <c r="Y28" s="509"/>
      <c r="Z28" s="509"/>
      <c r="AA28" s="509"/>
      <c r="AB28" s="509"/>
      <c r="AC28" s="509"/>
      <c r="AD28" s="509"/>
      <c r="AE28" s="509"/>
      <c r="AF28" s="509"/>
      <c r="AG28" s="509"/>
      <c r="AH28" s="509"/>
      <c r="AI28" s="509"/>
      <c r="AJ28" s="509"/>
      <c r="AK28" s="509"/>
      <c r="AL28" s="509"/>
      <c r="AM28" s="509"/>
      <c r="AN28" s="509"/>
      <c r="AO28" s="509"/>
      <c r="AP28" s="509"/>
      <c r="AQ28" s="509"/>
      <c r="AR28" s="509"/>
      <c r="AS28" s="509"/>
      <c r="AT28" s="509"/>
      <c r="AU28" s="509"/>
    </row>
    <row r="29" spans="1:256" s="29" customFormat="1" ht="13.5" customHeight="1">
      <c r="A29" s="45" t="s">
        <v>83</v>
      </c>
      <c r="B29" s="78" t="s">
        <v>119</v>
      </c>
      <c r="C29" s="43">
        <v>113204111</v>
      </c>
      <c r="D29" s="43" t="s">
        <v>117</v>
      </c>
      <c r="E29" s="43" t="s">
        <v>115</v>
      </c>
      <c r="F29" s="35">
        <f>F30</f>
        <v>5.5</v>
      </c>
      <c r="G29" s="1111"/>
      <c r="H29" s="84">
        <f>F29*G29</f>
        <v>0</v>
      </c>
      <c r="I29" s="819" t="s">
        <v>738</v>
      </c>
      <c r="J29" s="550"/>
      <c r="K29" s="823"/>
      <c r="L29" s="452"/>
      <c r="M29" s="452"/>
      <c r="N29" s="452"/>
      <c r="O29" s="452"/>
      <c r="P29" s="452"/>
      <c r="Q29" s="452"/>
      <c r="R29" s="452"/>
      <c r="S29" s="452"/>
      <c r="T29" s="452"/>
      <c r="U29" s="452"/>
      <c r="V29" s="452"/>
      <c r="W29" s="452"/>
      <c r="X29" s="452"/>
      <c r="Y29" s="452"/>
      <c r="Z29" s="452"/>
      <c r="AA29" s="452"/>
      <c r="AB29" s="452"/>
      <c r="AC29" s="452"/>
      <c r="AD29" s="452"/>
      <c r="AE29" s="452"/>
      <c r="AF29" s="452"/>
      <c r="AG29" s="452"/>
      <c r="AH29" s="452"/>
      <c r="AI29" s="452"/>
      <c r="AJ29" s="452"/>
      <c r="AK29" s="452"/>
      <c r="AL29" s="509"/>
      <c r="AM29" s="509"/>
      <c r="AN29" s="509"/>
      <c r="AO29" s="509"/>
      <c r="AP29" s="509"/>
      <c r="AQ29" s="509"/>
      <c r="AR29" s="509"/>
      <c r="AS29" s="509"/>
      <c r="AT29" s="509"/>
      <c r="AU29" s="509"/>
      <c r="AV29" s="508"/>
      <c r="AW29" s="508"/>
      <c r="AX29" s="508"/>
    </row>
    <row r="30" spans="1:256" s="29" customFormat="1" ht="13.5" customHeight="1">
      <c r="A30" s="45"/>
      <c r="B30" s="78"/>
      <c r="C30" s="43"/>
      <c r="D30" s="46" t="s">
        <v>832</v>
      </c>
      <c r="E30" s="43"/>
      <c r="F30" s="47">
        <f>(4+1.5)</f>
        <v>5.5</v>
      </c>
      <c r="G30" s="84"/>
      <c r="H30" s="84"/>
      <c r="I30" s="126"/>
      <c r="J30" s="823"/>
      <c r="K30" s="551"/>
      <c r="L30" s="509"/>
      <c r="M30" s="509"/>
      <c r="N30" s="509"/>
      <c r="O30" s="509"/>
      <c r="P30" s="509"/>
      <c r="Q30" s="509"/>
      <c r="R30" s="509"/>
      <c r="S30" s="509"/>
      <c r="T30" s="509"/>
      <c r="U30" s="509"/>
      <c r="V30" s="509"/>
      <c r="W30" s="509"/>
      <c r="X30" s="509"/>
      <c r="Y30" s="509"/>
      <c r="Z30" s="509"/>
      <c r="AA30" s="509"/>
      <c r="AB30" s="509"/>
      <c r="AC30" s="509"/>
      <c r="AD30" s="509"/>
      <c r="AE30" s="509"/>
      <c r="AF30" s="509"/>
      <c r="AG30" s="509"/>
      <c r="AH30" s="509"/>
      <c r="AI30" s="509"/>
      <c r="AJ30" s="509"/>
      <c r="AK30" s="509"/>
      <c r="AL30" s="509"/>
      <c r="AM30" s="509"/>
      <c r="AN30" s="509"/>
      <c r="AO30" s="509"/>
      <c r="AP30" s="509"/>
      <c r="AQ30" s="509"/>
      <c r="AR30" s="509"/>
      <c r="AS30" s="509"/>
      <c r="AT30" s="509"/>
      <c r="AU30" s="509"/>
      <c r="AV30" s="508"/>
      <c r="AW30" s="508"/>
      <c r="AX30" s="508"/>
    </row>
    <row r="31" spans="1:256" s="508" customFormat="1" ht="13.5" customHeight="1">
      <c r="A31" s="434"/>
      <c r="B31" s="435"/>
      <c r="C31" s="456"/>
      <c r="D31" s="456" t="s">
        <v>116</v>
      </c>
      <c r="E31" s="456"/>
      <c r="F31" s="548"/>
      <c r="G31" s="448"/>
      <c r="H31" s="448"/>
      <c r="I31" s="549"/>
      <c r="J31" s="952"/>
      <c r="K31" s="509"/>
      <c r="L31" s="509"/>
      <c r="M31" s="509"/>
      <c r="N31" s="509"/>
      <c r="O31" s="509"/>
      <c r="P31" s="509"/>
      <c r="Q31" s="509"/>
      <c r="R31" s="509"/>
      <c r="S31" s="509"/>
      <c r="T31" s="509"/>
      <c r="U31" s="509"/>
      <c r="V31" s="509"/>
      <c r="W31" s="509"/>
      <c r="X31" s="509"/>
      <c r="Y31" s="509"/>
      <c r="Z31" s="509"/>
      <c r="AA31" s="509"/>
      <c r="AB31" s="509"/>
      <c r="AC31" s="509"/>
      <c r="AD31" s="509"/>
      <c r="AE31" s="509"/>
      <c r="AF31" s="509"/>
      <c r="AG31" s="509"/>
      <c r="AH31" s="509"/>
      <c r="AI31" s="509"/>
      <c r="AJ31" s="509"/>
      <c r="AK31" s="509"/>
      <c r="AL31" s="509"/>
      <c r="AM31" s="509"/>
      <c r="AN31" s="509"/>
      <c r="AO31" s="509"/>
      <c r="AP31" s="509"/>
      <c r="AQ31" s="509"/>
      <c r="AR31" s="509"/>
      <c r="AS31" s="509"/>
      <c r="AT31" s="509"/>
      <c r="AU31" s="509"/>
    </row>
    <row r="32" spans="1:256" s="506" customFormat="1" ht="13.5" customHeight="1">
      <c r="A32" s="530">
        <v>7</v>
      </c>
      <c r="B32" s="34" t="s">
        <v>96</v>
      </c>
      <c r="C32" s="34">
        <v>115101201</v>
      </c>
      <c r="D32" s="34" t="s">
        <v>153</v>
      </c>
      <c r="E32" s="34" t="s">
        <v>151</v>
      </c>
      <c r="F32" s="531">
        <v>16</v>
      </c>
      <c r="G32" s="79"/>
      <c r="H32" s="532">
        <f t="shared" ref="H32:H37" si="0">F32*G32</f>
        <v>0</v>
      </c>
      <c r="I32" s="819" t="s">
        <v>738</v>
      </c>
      <c r="J32" s="823"/>
      <c r="K32" s="551"/>
      <c r="L32" s="509"/>
      <c r="M32" s="509"/>
      <c r="N32" s="509"/>
      <c r="O32" s="509"/>
      <c r="P32" s="509"/>
      <c r="Q32" s="509"/>
      <c r="R32" s="509"/>
      <c r="S32" s="509"/>
      <c r="T32" s="509"/>
      <c r="U32" s="509"/>
      <c r="V32" s="509"/>
      <c r="W32" s="509"/>
      <c r="X32" s="509"/>
      <c r="Y32" s="509"/>
      <c r="Z32" s="509"/>
      <c r="AA32" s="509"/>
      <c r="AB32" s="509"/>
      <c r="AC32" s="509"/>
      <c r="AD32" s="509"/>
      <c r="AE32" s="509"/>
      <c r="AF32" s="509"/>
      <c r="AG32" s="509"/>
      <c r="AH32" s="509"/>
      <c r="AI32" s="509"/>
      <c r="AJ32" s="509"/>
      <c r="AK32" s="509"/>
      <c r="AL32" s="509"/>
      <c r="AM32" s="509"/>
      <c r="AN32" s="509"/>
      <c r="AO32" s="509"/>
      <c r="AP32" s="509"/>
      <c r="AQ32" s="509"/>
      <c r="AR32" s="509"/>
      <c r="AS32" s="509"/>
      <c r="AT32" s="509"/>
      <c r="AU32" s="509"/>
      <c r="AV32" s="508"/>
      <c r="AW32" s="508"/>
      <c r="AX32" s="508"/>
    </row>
    <row r="33" spans="1:256" s="506" customFormat="1" ht="13.5" customHeight="1">
      <c r="A33" s="530">
        <v>8</v>
      </c>
      <c r="B33" s="34" t="s">
        <v>96</v>
      </c>
      <c r="C33" s="34">
        <v>115101301</v>
      </c>
      <c r="D33" s="34" t="s">
        <v>154</v>
      </c>
      <c r="E33" s="34" t="s">
        <v>155</v>
      </c>
      <c r="F33" s="531">
        <v>2</v>
      </c>
      <c r="G33" s="79"/>
      <c r="H33" s="532">
        <f t="shared" si="0"/>
        <v>0</v>
      </c>
      <c r="I33" s="819" t="s">
        <v>738</v>
      </c>
      <c r="J33" s="823"/>
      <c r="K33" s="509"/>
      <c r="L33" s="509"/>
      <c r="M33" s="509"/>
      <c r="N33" s="509"/>
      <c r="O33" s="509"/>
      <c r="P33" s="509"/>
      <c r="Q33" s="509"/>
      <c r="R33" s="509"/>
      <c r="S33" s="509"/>
      <c r="T33" s="509"/>
      <c r="U33" s="509"/>
      <c r="V33" s="509"/>
      <c r="W33" s="509"/>
      <c r="X33" s="509"/>
      <c r="Y33" s="509"/>
      <c r="Z33" s="509"/>
      <c r="AA33" s="509"/>
      <c r="AB33" s="509"/>
      <c r="AC33" s="509"/>
      <c r="AD33" s="509"/>
      <c r="AE33" s="509"/>
      <c r="AF33" s="509"/>
      <c r="AG33" s="509"/>
      <c r="AH33" s="509"/>
      <c r="AI33" s="509"/>
      <c r="AJ33" s="509"/>
      <c r="AK33" s="509"/>
      <c r="AL33" s="509"/>
      <c r="AM33" s="509"/>
      <c r="AN33" s="509"/>
      <c r="AO33" s="509"/>
      <c r="AP33" s="509"/>
      <c r="AQ33" s="509"/>
      <c r="AR33" s="509"/>
      <c r="AS33" s="509"/>
      <c r="AT33" s="509"/>
      <c r="AU33" s="509"/>
      <c r="AV33" s="508"/>
      <c r="AW33" s="508"/>
      <c r="AX33" s="508"/>
    </row>
    <row r="34" spans="1:256" s="506" customFormat="1" ht="13.5" customHeight="1">
      <c r="A34" s="530">
        <v>9</v>
      </c>
      <c r="B34" s="34" t="s">
        <v>96</v>
      </c>
      <c r="C34" s="34">
        <v>119001402</v>
      </c>
      <c r="D34" s="34" t="s">
        <v>156</v>
      </c>
      <c r="E34" s="34" t="s">
        <v>115</v>
      </c>
      <c r="F34" s="534">
        <v>1.5</v>
      </c>
      <c r="G34" s="79"/>
      <c r="H34" s="532">
        <f t="shared" si="0"/>
        <v>0</v>
      </c>
      <c r="I34" s="819" t="s">
        <v>738</v>
      </c>
      <c r="J34" s="824"/>
      <c r="K34" s="26"/>
      <c r="L34" s="825"/>
      <c r="M34" s="8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9"/>
      <c r="AW34" s="29"/>
      <c r="AX34" s="29"/>
    </row>
    <row r="35" spans="1:256" s="506" customFormat="1" ht="13.5" customHeight="1">
      <c r="A35" s="530">
        <v>10</v>
      </c>
      <c r="B35" s="34" t="s">
        <v>96</v>
      </c>
      <c r="C35" s="34">
        <v>119001406</v>
      </c>
      <c r="D35" s="34" t="s">
        <v>157</v>
      </c>
      <c r="E35" s="34" t="s">
        <v>115</v>
      </c>
      <c r="F35" s="534">
        <v>1.5</v>
      </c>
      <c r="G35" s="79"/>
      <c r="H35" s="532">
        <f t="shared" si="0"/>
        <v>0</v>
      </c>
      <c r="I35" s="819" t="s">
        <v>738</v>
      </c>
      <c r="J35" s="26"/>
      <c r="K35" s="26"/>
      <c r="L35" s="825"/>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9"/>
      <c r="AW35" s="29"/>
      <c r="AX35" s="29"/>
    </row>
    <row r="36" spans="1:256" s="506" customFormat="1" ht="13.5" customHeight="1">
      <c r="A36" s="530">
        <v>11</v>
      </c>
      <c r="B36" s="34" t="s">
        <v>96</v>
      </c>
      <c r="C36" s="34">
        <v>119001412</v>
      </c>
      <c r="D36" s="34" t="s">
        <v>158</v>
      </c>
      <c r="E36" s="34" t="s">
        <v>115</v>
      </c>
      <c r="F36" s="534">
        <v>1.5</v>
      </c>
      <c r="G36" s="79"/>
      <c r="H36" s="532">
        <f t="shared" si="0"/>
        <v>0</v>
      </c>
      <c r="I36" s="819" t="s">
        <v>738</v>
      </c>
      <c r="J36" s="823"/>
      <c r="K36" s="551"/>
      <c r="L36" s="509"/>
      <c r="M36" s="509"/>
      <c r="N36" s="509"/>
      <c r="O36" s="509"/>
      <c r="P36" s="509"/>
      <c r="Q36" s="509"/>
      <c r="R36" s="509"/>
      <c r="S36" s="509"/>
      <c r="T36" s="509"/>
      <c r="U36" s="509"/>
      <c r="V36" s="509"/>
      <c r="W36" s="509"/>
      <c r="X36" s="509"/>
      <c r="Y36" s="509"/>
      <c r="Z36" s="509"/>
      <c r="AA36" s="509"/>
      <c r="AB36" s="509"/>
      <c r="AC36" s="509"/>
      <c r="AD36" s="509"/>
      <c r="AE36" s="509"/>
      <c r="AF36" s="509"/>
      <c r="AG36" s="509"/>
      <c r="AH36" s="509"/>
      <c r="AI36" s="509"/>
      <c r="AJ36" s="509"/>
      <c r="AK36" s="509"/>
      <c r="AL36" s="509"/>
      <c r="AM36" s="509"/>
      <c r="AN36" s="509"/>
      <c r="AO36" s="509"/>
      <c r="AP36" s="509"/>
      <c r="AQ36" s="509"/>
      <c r="AR36" s="509"/>
      <c r="AS36" s="509"/>
      <c r="AT36" s="509"/>
      <c r="AU36" s="509"/>
      <c r="AV36" s="508"/>
      <c r="AW36" s="508"/>
      <c r="AX36" s="508"/>
    </row>
    <row r="37" spans="1:256" s="506" customFormat="1" ht="13.5" customHeight="1">
      <c r="A37" s="530">
        <v>12</v>
      </c>
      <c r="B37" s="34" t="s">
        <v>96</v>
      </c>
      <c r="C37" s="34">
        <v>119001422</v>
      </c>
      <c r="D37" s="34" t="s">
        <v>159</v>
      </c>
      <c r="E37" s="34" t="s">
        <v>115</v>
      </c>
      <c r="F37" s="534">
        <v>5</v>
      </c>
      <c r="G37" s="79"/>
      <c r="H37" s="532">
        <f t="shared" si="0"/>
        <v>0</v>
      </c>
      <c r="I37" s="819" t="s">
        <v>738</v>
      </c>
      <c r="J37" s="824"/>
      <c r="K37" s="26"/>
      <c r="L37" s="825"/>
      <c r="M37" s="8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9"/>
      <c r="AW37" s="29"/>
      <c r="AX37" s="29"/>
    </row>
    <row r="38" spans="1:256" s="541" customFormat="1" ht="13.5" customHeight="1">
      <c r="A38" s="535">
        <v>13</v>
      </c>
      <c r="B38" s="536" t="s">
        <v>96</v>
      </c>
      <c r="C38" s="537">
        <v>121112003</v>
      </c>
      <c r="D38" s="537" t="s">
        <v>222</v>
      </c>
      <c r="E38" s="537" t="s">
        <v>98</v>
      </c>
      <c r="F38" s="538">
        <f>SUM(F39:F39)</f>
        <v>8.1999999999999993</v>
      </c>
      <c r="G38" s="90"/>
      <c r="H38" s="539">
        <f>F38*G38</f>
        <v>0</v>
      </c>
      <c r="I38" s="819" t="s">
        <v>738</v>
      </c>
      <c r="J38" s="26"/>
      <c r="K38" s="26"/>
      <c r="L38" s="825"/>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9"/>
      <c r="AW38" s="29"/>
      <c r="AX38" s="29"/>
    </row>
    <row r="39" spans="1:256" s="541" customFormat="1" ht="13.5" customHeight="1">
      <c r="A39" s="535"/>
      <c r="B39" s="537"/>
      <c r="C39" s="537"/>
      <c r="D39" s="542" t="s">
        <v>461</v>
      </c>
      <c r="E39" s="537"/>
      <c r="F39" s="543">
        <f>(9.7-1.5)*1</f>
        <v>8.1999999999999993</v>
      </c>
      <c r="G39" s="544"/>
      <c r="H39" s="539"/>
      <c r="I39" s="545"/>
      <c r="J39" s="823"/>
      <c r="K39" s="551"/>
      <c r="L39" s="509"/>
      <c r="M39" s="509"/>
      <c r="N39" s="509"/>
      <c r="O39" s="509"/>
      <c r="P39" s="509"/>
      <c r="Q39" s="509"/>
      <c r="R39" s="509"/>
      <c r="S39" s="509"/>
      <c r="T39" s="509"/>
      <c r="U39" s="509"/>
      <c r="V39" s="509"/>
      <c r="W39" s="509"/>
      <c r="X39" s="509"/>
      <c r="Y39" s="509"/>
      <c r="Z39" s="509"/>
      <c r="AA39" s="509"/>
      <c r="AB39" s="509"/>
      <c r="AC39" s="509"/>
      <c r="AD39" s="509"/>
      <c r="AE39" s="509"/>
      <c r="AF39" s="509"/>
      <c r="AG39" s="509"/>
      <c r="AH39" s="509"/>
      <c r="AI39" s="509"/>
      <c r="AJ39" s="509"/>
      <c r="AK39" s="509"/>
      <c r="AL39" s="509"/>
      <c r="AM39" s="509"/>
      <c r="AN39" s="509"/>
      <c r="AO39" s="509"/>
      <c r="AP39" s="509"/>
      <c r="AQ39" s="509"/>
      <c r="AR39" s="509"/>
      <c r="AS39" s="509"/>
      <c r="AT39" s="509"/>
      <c r="AU39" s="509"/>
      <c r="AV39" s="508"/>
      <c r="AW39" s="508"/>
      <c r="AX39" s="508"/>
    </row>
    <row r="40" spans="1:256" s="541" customFormat="1" ht="27" customHeight="1">
      <c r="A40" s="535"/>
      <c r="B40" s="537"/>
      <c r="C40" s="537"/>
      <c r="D40" s="542" t="s">
        <v>735</v>
      </c>
      <c r="E40" s="537"/>
      <c r="F40" s="543"/>
      <c r="G40" s="544"/>
      <c r="H40" s="539"/>
      <c r="I40" s="545"/>
      <c r="J40" s="546"/>
      <c r="K40" s="452"/>
      <c r="L40" s="452"/>
      <c r="M40" s="452"/>
      <c r="N40" s="452"/>
      <c r="O40" s="452"/>
      <c r="P40" s="452"/>
      <c r="Q40" s="452"/>
      <c r="R40" s="452"/>
      <c r="S40" s="452"/>
      <c r="T40" s="452"/>
      <c r="U40" s="452"/>
      <c r="V40" s="452"/>
      <c r="W40" s="452"/>
      <c r="X40" s="452"/>
      <c r="Y40" s="452"/>
      <c r="Z40" s="452"/>
      <c r="AA40" s="452"/>
      <c r="AB40" s="452"/>
      <c r="AC40" s="452"/>
      <c r="AD40" s="452"/>
      <c r="AE40" s="452"/>
      <c r="AF40" s="452"/>
      <c r="AG40" s="452"/>
      <c r="AH40" s="452"/>
      <c r="AI40" s="452"/>
      <c r="AJ40" s="452"/>
      <c r="AK40" s="452"/>
      <c r="AL40" s="452"/>
      <c r="AM40" s="452"/>
      <c r="AN40" s="452"/>
      <c r="AO40" s="452"/>
      <c r="AP40" s="452"/>
      <c r="AQ40" s="452"/>
      <c r="AR40" s="452"/>
      <c r="AS40" s="452"/>
      <c r="AT40" s="452"/>
      <c r="AU40" s="452"/>
    </row>
    <row r="41" spans="1:256" s="506" customFormat="1" ht="27" customHeight="1">
      <c r="A41" s="434"/>
      <c r="B41" s="435"/>
      <c r="C41" s="456"/>
      <c r="D41" s="547" t="s">
        <v>519</v>
      </c>
      <c r="E41" s="456"/>
      <c r="F41" s="548"/>
      <c r="G41" s="448"/>
      <c r="H41" s="448"/>
      <c r="I41" s="549"/>
      <c r="J41" s="550"/>
      <c r="K41" s="551"/>
      <c r="L41" s="452"/>
      <c r="M41" s="452"/>
      <c r="N41" s="452"/>
      <c r="O41" s="452"/>
      <c r="P41" s="452"/>
      <c r="Q41" s="452"/>
      <c r="R41" s="452"/>
      <c r="S41" s="452"/>
      <c r="T41" s="452"/>
      <c r="U41" s="452"/>
      <c r="V41" s="452"/>
      <c r="W41" s="452"/>
      <c r="X41" s="452"/>
      <c r="Y41" s="452"/>
      <c r="Z41" s="452"/>
      <c r="AA41" s="452"/>
      <c r="AB41" s="452"/>
      <c r="AC41" s="452"/>
      <c r="AD41" s="452"/>
      <c r="AE41" s="452"/>
      <c r="AF41" s="452"/>
      <c r="AG41" s="452"/>
      <c r="AH41" s="452"/>
      <c r="AI41" s="452"/>
      <c r="AJ41" s="452"/>
      <c r="AK41" s="452"/>
      <c r="AL41" s="509"/>
      <c r="AM41" s="509"/>
      <c r="AN41" s="509"/>
      <c r="AO41" s="509"/>
      <c r="AP41" s="509"/>
      <c r="AQ41" s="509"/>
      <c r="AR41" s="509"/>
      <c r="AS41" s="509"/>
      <c r="AT41" s="509"/>
      <c r="AU41" s="509"/>
      <c r="AV41" s="508"/>
      <c r="AW41" s="508"/>
      <c r="AX41" s="508"/>
      <c r="AY41" s="508"/>
      <c r="AZ41" s="508"/>
      <c r="BA41" s="508"/>
      <c r="BB41" s="508"/>
      <c r="BC41" s="508"/>
      <c r="BD41" s="508"/>
      <c r="BE41" s="508"/>
      <c r="BF41" s="508"/>
      <c r="BG41" s="508"/>
      <c r="BH41" s="508"/>
      <c r="BI41" s="508"/>
      <c r="BJ41" s="508"/>
      <c r="BK41" s="508"/>
      <c r="BL41" s="508"/>
      <c r="BM41" s="508"/>
      <c r="BN41" s="508"/>
      <c r="BO41" s="508"/>
      <c r="BP41" s="508"/>
      <c r="BQ41" s="508"/>
      <c r="BR41" s="508"/>
      <c r="BS41" s="508"/>
      <c r="BT41" s="508"/>
      <c r="BU41" s="508"/>
      <c r="BV41" s="508"/>
      <c r="BW41" s="508"/>
      <c r="BX41" s="508"/>
      <c r="BY41" s="508"/>
      <c r="BZ41" s="508"/>
      <c r="CA41" s="508"/>
      <c r="CB41" s="508"/>
      <c r="CC41" s="508"/>
      <c r="CD41" s="508"/>
      <c r="CE41" s="508"/>
      <c r="CF41" s="508"/>
      <c r="CG41" s="508"/>
      <c r="CH41" s="508"/>
      <c r="CI41" s="508"/>
      <c r="CJ41" s="508"/>
      <c r="CK41" s="508"/>
      <c r="CL41" s="508"/>
      <c r="CM41" s="508"/>
      <c r="CN41" s="508"/>
      <c r="CO41" s="508"/>
      <c r="CP41" s="508"/>
      <c r="CQ41" s="508"/>
      <c r="CR41" s="508"/>
      <c r="CS41" s="508"/>
      <c r="CT41" s="508"/>
      <c r="CU41" s="508"/>
      <c r="CV41" s="508"/>
      <c r="CW41" s="508"/>
      <c r="CX41" s="508"/>
      <c r="CY41" s="508"/>
      <c r="CZ41" s="508"/>
      <c r="DA41" s="508"/>
      <c r="DB41" s="508"/>
      <c r="DC41" s="508"/>
      <c r="DD41" s="508"/>
      <c r="DE41" s="508"/>
      <c r="DF41" s="508"/>
      <c r="DG41" s="508"/>
      <c r="DH41" s="508"/>
      <c r="DI41" s="508"/>
      <c r="DJ41" s="508"/>
      <c r="DK41" s="508"/>
      <c r="DL41" s="508"/>
      <c r="DM41" s="508"/>
      <c r="DN41" s="508"/>
      <c r="DO41" s="508"/>
      <c r="DP41" s="508"/>
      <c r="DQ41" s="508"/>
      <c r="DR41" s="508"/>
      <c r="DS41" s="508"/>
      <c r="DT41" s="508"/>
      <c r="DU41" s="508"/>
      <c r="DV41" s="508"/>
      <c r="DW41" s="508"/>
      <c r="DX41" s="508"/>
      <c r="DY41" s="508"/>
      <c r="DZ41" s="508"/>
      <c r="EA41" s="508"/>
      <c r="EB41" s="508"/>
      <c r="EC41" s="508"/>
      <c r="ED41" s="508"/>
      <c r="EE41" s="508"/>
      <c r="EF41" s="508"/>
      <c r="EG41" s="508"/>
      <c r="EH41" s="508"/>
      <c r="EI41" s="508"/>
      <c r="EJ41" s="508"/>
      <c r="EK41" s="508"/>
      <c r="EL41" s="508"/>
      <c r="EM41" s="508"/>
      <c r="EN41" s="508"/>
      <c r="EO41" s="508"/>
      <c r="EP41" s="508"/>
      <c r="EQ41" s="508"/>
      <c r="ER41" s="508"/>
      <c r="ES41" s="508"/>
      <c r="ET41" s="508"/>
      <c r="EU41" s="508"/>
      <c r="EV41" s="508"/>
      <c r="EW41" s="508"/>
      <c r="EX41" s="508"/>
      <c r="EY41" s="508"/>
      <c r="EZ41" s="508"/>
      <c r="FA41" s="508"/>
      <c r="FB41" s="508"/>
      <c r="FC41" s="508"/>
      <c r="FD41" s="508"/>
      <c r="FE41" s="508"/>
      <c r="FF41" s="508"/>
      <c r="FG41" s="508"/>
      <c r="FH41" s="508"/>
      <c r="FI41" s="508"/>
      <c r="FJ41" s="508"/>
      <c r="FK41" s="508"/>
      <c r="FL41" s="508"/>
      <c r="FM41" s="508"/>
      <c r="FN41" s="508"/>
      <c r="FO41" s="508"/>
      <c r="FP41" s="508"/>
      <c r="FQ41" s="508"/>
      <c r="FR41" s="508"/>
      <c r="FS41" s="508"/>
      <c r="FT41" s="508"/>
      <c r="FU41" s="508"/>
      <c r="FV41" s="508"/>
      <c r="FW41" s="508"/>
      <c r="FX41" s="508"/>
      <c r="FY41" s="508"/>
      <c r="FZ41" s="508"/>
      <c r="GA41" s="508"/>
      <c r="GB41" s="508"/>
      <c r="GC41" s="508"/>
      <c r="GD41" s="508"/>
      <c r="GE41" s="508"/>
      <c r="GF41" s="508"/>
      <c r="GG41" s="508"/>
      <c r="GH41" s="508"/>
      <c r="GI41" s="508"/>
      <c r="GJ41" s="508"/>
      <c r="GK41" s="508"/>
      <c r="GL41" s="508"/>
      <c r="GM41" s="508"/>
      <c r="GN41" s="508"/>
      <c r="GO41" s="508"/>
      <c r="GP41" s="508"/>
      <c r="GQ41" s="508"/>
      <c r="GR41" s="508"/>
      <c r="GS41" s="508"/>
      <c r="GT41" s="508"/>
      <c r="GU41" s="508"/>
      <c r="GV41" s="508"/>
      <c r="GW41" s="508"/>
      <c r="GX41" s="508"/>
      <c r="GY41" s="508"/>
      <c r="GZ41" s="508"/>
      <c r="HA41" s="508"/>
      <c r="HB41" s="508"/>
      <c r="HC41" s="508"/>
      <c r="HD41" s="508"/>
      <c r="HE41" s="508"/>
      <c r="HF41" s="508"/>
      <c r="HG41" s="508"/>
      <c r="HH41" s="508"/>
      <c r="HI41" s="508"/>
      <c r="HJ41" s="508"/>
      <c r="HK41" s="508"/>
      <c r="HL41" s="508"/>
      <c r="HM41" s="508"/>
      <c r="HN41" s="508"/>
      <c r="HO41" s="508"/>
      <c r="HP41" s="508"/>
      <c r="HQ41" s="508"/>
      <c r="HR41" s="508"/>
      <c r="HS41" s="508"/>
      <c r="HT41" s="508"/>
      <c r="HU41" s="508"/>
      <c r="HV41" s="508"/>
      <c r="HW41" s="508"/>
      <c r="HX41" s="508"/>
      <c r="HY41" s="508"/>
      <c r="HZ41" s="508"/>
      <c r="IA41" s="508"/>
      <c r="IB41" s="508"/>
      <c r="IC41" s="508"/>
      <c r="ID41" s="508"/>
      <c r="IE41" s="508"/>
      <c r="IF41" s="508"/>
      <c r="IG41" s="508"/>
      <c r="IH41" s="508"/>
      <c r="II41" s="508"/>
      <c r="IJ41" s="508"/>
      <c r="IK41" s="508"/>
      <c r="IL41" s="508"/>
      <c r="IM41" s="508"/>
      <c r="IN41" s="508"/>
      <c r="IO41" s="508"/>
      <c r="IP41" s="508"/>
      <c r="IQ41" s="508"/>
      <c r="IR41" s="508"/>
      <c r="IS41" s="508"/>
      <c r="IT41" s="508"/>
      <c r="IU41" s="508"/>
      <c r="IV41" s="508"/>
    </row>
    <row r="42" spans="1:256" s="506" customFormat="1" ht="27" customHeight="1">
      <c r="A42" s="530">
        <v>14</v>
      </c>
      <c r="B42" s="34" t="s">
        <v>96</v>
      </c>
      <c r="C42" s="34">
        <v>132254101</v>
      </c>
      <c r="D42" s="34" t="s">
        <v>168</v>
      </c>
      <c r="E42" s="34" t="s">
        <v>122</v>
      </c>
      <c r="F42" s="534">
        <f>SUM(F45:F47)</f>
        <v>13.2</v>
      </c>
      <c r="G42" s="79"/>
      <c r="H42" s="532">
        <f t="shared" ref="H42" si="1">F42*G42</f>
        <v>0</v>
      </c>
      <c r="I42" s="819" t="s">
        <v>738</v>
      </c>
      <c r="J42" s="505"/>
      <c r="K42" s="505"/>
      <c r="L42" s="505"/>
      <c r="M42" s="505"/>
      <c r="N42" s="505"/>
      <c r="O42" s="505"/>
      <c r="P42" s="505"/>
      <c r="Q42" s="505"/>
      <c r="R42" s="505"/>
      <c r="S42" s="505"/>
      <c r="T42" s="505"/>
      <c r="U42" s="505"/>
      <c r="V42" s="505"/>
      <c r="W42" s="505"/>
      <c r="X42" s="505"/>
      <c r="Y42" s="505"/>
      <c r="Z42" s="505"/>
      <c r="AA42" s="505"/>
      <c r="AB42" s="505"/>
      <c r="AC42" s="505"/>
      <c r="AD42" s="505"/>
      <c r="AE42" s="505"/>
      <c r="AF42" s="505"/>
      <c r="AG42" s="505"/>
      <c r="AH42" s="505"/>
      <c r="AI42" s="505"/>
      <c r="AJ42" s="505"/>
      <c r="AK42" s="505"/>
      <c r="AL42" s="505"/>
      <c r="AM42" s="505"/>
      <c r="AN42" s="505"/>
      <c r="AO42" s="505"/>
      <c r="AP42" s="505"/>
      <c r="AQ42" s="505"/>
      <c r="AR42" s="505"/>
      <c r="AS42" s="505"/>
      <c r="AT42" s="505"/>
      <c r="AU42" s="505"/>
    </row>
    <row r="43" spans="1:256" s="506" customFormat="1" ht="13.5" customHeight="1">
      <c r="A43" s="530"/>
      <c r="B43" s="34"/>
      <c r="C43" s="36"/>
      <c r="D43" s="36" t="s">
        <v>640</v>
      </c>
      <c r="E43" s="36"/>
      <c r="F43" s="505"/>
      <c r="G43" s="553"/>
      <c r="H43" s="553"/>
      <c r="I43" s="533"/>
      <c r="J43" s="678"/>
      <c r="K43" s="505"/>
      <c r="L43" s="505"/>
      <c r="M43" s="505"/>
      <c r="N43" s="505"/>
      <c r="O43" s="505"/>
      <c r="P43" s="505"/>
      <c r="Q43" s="505"/>
      <c r="R43" s="505"/>
      <c r="S43" s="505"/>
      <c r="T43" s="505"/>
      <c r="U43" s="505"/>
      <c r="V43" s="505"/>
      <c r="W43" s="505"/>
      <c r="X43" s="505"/>
      <c r="Y43" s="505"/>
      <c r="Z43" s="505"/>
      <c r="AA43" s="505"/>
      <c r="AB43" s="505"/>
      <c r="AC43" s="505"/>
      <c r="AD43" s="505"/>
      <c r="AE43" s="505"/>
      <c r="AF43" s="505"/>
      <c r="AG43" s="505"/>
      <c r="AH43" s="505"/>
      <c r="AI43" s="505"/>
      <c r="AJ43" s="505"/>
      <c r="AK43" s="505"/>
      <c r="AL43" s="505"/>
      <c r="AM43" s="505"/>
      <c r="AN43" s="505"/>
      <c r="AO43" s="505"/>
      <c r="AP43" s="505"/>
      <c r="AQ43" s="505"/>
      <c r="AR43" s="505"/>
      <c r="AS43" s="505"/>
      <c r="AT43" s="505"/>
      <c r="AU43" s="505"/>
    </row>
    <row r="44" spans="1:256" s="506" customFormat="1" ht="27" customHeight="1">
      <c r="A44" s="530"/>
      <c r="B44" s="34"/>
      <c r="C44" s="36"/>
      <c r="D44" s="36" t="s">
        <v>822</v>
      </c>
      <c r="E44" s="36"/>
      <c r="F44" s="1002" t="s">
        <v>457</v>
      </c>
      <c r="G44" s="1003"/>
      <c r="H44" s="1004"/>
      <c r="I44" s="533"/>
      <c r="J44" s="540"/>
      <c r="K44" s="452"/>
      <c r="L44" s="452"/>
      <c r="M44" s="452"/>
      <c r="N44" s="452"/>
      <c r="O44" s="452"/>
      <c r="P44" s="452"/>
      <c r="Q44" s="452"/>
      <c r="R44" s="452"/>
      <c r="S44" s="452"/>
      <c r="T44" s="505"/>
      <c r="U44" s="505"/>
      <c r="V44" s="505"/>
      <c r="W44" s="505"/>
      <c r="X44" s="505"/>
      <c r="Y44" s="505"/>
      <c r="Z44" s="505"/>
      <c r="AA44" s="505"/>
      <c r="AB44" s="505"/>
      <c r="AC44" s="505"/>
      <c r="AD44" s="505"/>
      <c r="AE44" s="505"/>
      <c r="AF44" s="505"/>
      <c r="AG44" s="505"/>
      <c r="AH44" s="505"/>
      <c r="AI44" s="505"/>
      <c r="AJ44" s="505"/>
      <c r="AK44" s="505"/>
      <c r="AL44" s="505"/>
      <c r="AM44" s="505"/>
      <c r="AN44" s="505"/>
      <c r="AO44" s="505"/>
      <c r="AP44" s="505"/>
      <c r="AQ44" s="505"/>
      <c r="AR44" s="505"/>
      <c r="AS44" s="505"/>
      <c r="AT44" s="505"/>
      <c r="AU44" s="505"/>
    </row>
    <row r="45" spans="1:256" s="506" customFormat="1" ht="13.5" customHeight="1">
      <c r="A45" s="530"/>
      <c r="B45" s="34"/>
      <c r="C45" s="36"/>
      <c r="D45" s="36" t="s">
        <v>462</v>
      </c>
      <c r="E45" s="36"/>
      <c r="F45" s="548">
        <f>(6.8)*0.8*1</f>
        <v>5.44</v>
      </c>
      <c r="G45" s="448"/>
      <c r="H45" s="448"/>
      <c r="I45" s="549"/>
      <c r="J45" s="554"/>
      <c r="K45" s="505"/>
      <c r="L45" s="505"/>
      <c r="M45" s="505"/>
      <c r="N45" s="505"/>
      <c r="O45" s="505"/>
      <c r="P45" s="505"/>
      <c r="Q45" s="505"/>
      <c r="R45" s="505"/>
      <c r="S45" s="505"/>
      <c r="T45" s="505"/>
      <c r="U45" s="505"/>
      <c r="V45" s="505"/>
      <c r="W45" s="505"/>
      <c r="X45" s="505"/>
      <c r="Y45" s="505"/>
      <c r="Z45" s="505"/>
      <c r="AA45" s="505"/>
      <c r="AB45" s="505"/>
      <c r="AC45" s="505"/>
      <c r="AD45" s="505"/>
      <c r="AE45" s="505"/>
      <c r="AF45" s="505"/>
      <c r="AG45" s="505"/>
      <c r="AH45" s="505"/>
      <c r="AI45" s="505"/>
      <c r="AJ45" s="505"/>
      <c r="AK45" s="505"/>
      <c r="AL45" s="505"/>
      <c r="AM45" s="505"/>
      <c r="AN45" s="505"/>
      <c r="AO45" s="505"/>
      <c r="AP45" s="505"/>
      <c r="AQ45" s="505"/>
      <c r="AR45" s="505"/>
      <c r="AS45" s="505"/>
      <c r="AT45" s="505"/>
      <c r="AU45" s="505"/>
    </row>
    <row r="46" spans="1:256" s="506" customFormat="1" ht="13.5" customHeight="1">
      <c r="A46" s="530"/>
      <c r="B46" s="34"/>
      <c r="C46" s="36"/>
      <c r="D46" s="36" t="s">
        <v>463</v>
      </c>
      <c r="E46" s="36"/>
      <c r="F46" s="548">
        <f>(1.5)*0.8*1</f>
        <v>1.2000000000000002</v>
      </c>
      <c r="G46" s="448"/>
      <c r="H46" s="448"/>
      <c r="I46" s="549"/>
      <c r="J46" s="505"/>
      <c r="K46" s="505"/>
      <c r="L46" s="505"/>
      <c r="M46" s="505"/>
      <c r="N46" s="505"/>
      <c r="O46" s="505"/>
      <c r="P46" s="505"/>
      <c r="Q46" s="505"/>
      <c r="R46" s="505"/>
      <c r="S46" s="505"/>
      <c r="T46" s="505"/>
      <c r="U46" s="505"/>
      <c r="V46" s="505"/>
      <c r="W46" s="505"/>
      <c r="X46" s="505"/>
      <c r="Y46" s="505"/>
      <c r="Z46" s="505"/>
      <c r="AA46" s="505"/>
      <c r="AB46" s="505"/>
      <c r="AC46" s="505"/>
      <c r="AD46" s="505"/>
      <c r="AE46" s="505"/>
      <c r="AF46" s="505"/>
      <c r="AG46" s="505"/>
      <c r="AH46" s="505"/>
      <c r="AI46" s="505"/>
      <c r="AJ46" s="505"/>
      <c r="AK46" s="505"/>
      <c r="AL46" s="505"/>
      <c r="AM46" s="505"/>
      <c r="AN46" s="505"/>
      <c r="AO46" s="505"/>
      <c r="AP46" s="505"/>
      <c r="AQ46" s="505"/>
      <c r="AR46" s="505"/>
      <c r="AS46" s="505"/>
      <c r="AT46" s="505"/>
      <c r="AU46" s="505"/>
    </row>
    <row r="47" spans="1:256" s="506" customFormat="1" ht="13.5" customHeight="1">
      <c r="A47" s="530"/>
      <c r="B47" s="34"/>
      <c r="C47" s="36"/>
      <c r="D47" s="36" t="s">
        <v>464</v>
      </c>
      <c r="E47" s="36"/>
      <c r="F47" s="548">
        <f>(9.7-1.5)*0.8*1</f>
        <v>6.56</v>
      </c>
      <c r="G47" s="448"/>
      <c r="H47" s="448"/>
      <c r="I47" s="549"/>
      <c r="J47" s="678"/>
      <c r="K47" s="505"/>
      <c r="L47" s="505"/>
      <c r="M47" s="505"/>
      <c r="N47" s="505"/>
      <c r="O47" s="505"/>
      <c r="P47" s="505"/>
      <c r="Q47" s="505"/>
      <c r="R47" s="505"/>
      <c r="S47" s="505"/>
      <c r="T47" s="505"/>
      <c r="U47" s="505"/>
      <c r="V47" s="505"/>
      <c r="W47" s="505"/>
      <c r="X47" s="505"/>
      <c r="Y47" s="505"/>
      <c r="Z47" s="505"/>
      <c r="AA47" s="505"/>
      <c r="AB47" s="505"/>
      <c r="AC47" s="505"/>
      <c r="AD47" s="505"/>
      <c r="AE47" s="505"/>
      <c r="AF47" s="505"/>
      <c r="AG47" s="505"/>
      <c r="AH47" s="505"/>
      <c r="AI47" s="505"/>
      <c r="AJ47" s="505"/>
      <c r="AK47" s="505"/>
      <c r="AL47" s="505"/>
      <c r="AM47" s="505"/>
      <c r="AN47" s="505"/>
      <c r="AO47" s="505"/>
      <c r="AP47" s="505"/>
      <c r="AQ47" s="505"/>
      <c r="AR47" s="505"/>
      <c r="AS47" s="505"/>
      <c r="AT47" s="505"/>
      <c r="AU47" s="505"/>
    </row>
    <row r="48" spans="1:256" s="563" customFormat="1" ht="40.5" customHeight="1">
      <c r="A48" s="555"/>
      <c r="B48" s="556"/>
      <c r="C48" s="557"/>
      <c r="D48" s="558" t="s">
        <v>572</v>
      </c>
      <c r="E48" s="557"/>
      <c r="F48" s="559"/>
      <c r="G48" s="560"/>
      <c r="H48" s="560"/>
      <c r="I48" s="561"/>
      <c r="J48" s="373"/>
      <c r="K48" s="562"/>
      <c r="L48" s="373"/>
      <c r="M48" s="373"/>
      <c r="N48" s="373"/>
      <c r="O48" s="373"/>
      <c r="P48" s="373"/>
      <c r="Q48" s="373"/>
      <c r="R48" s="373"/>
      <c r="S48" s="373"/>
      <c r="T48" s="373"/>
      <c r="U48" s="373"/>
      <c r="V48" s="373"/>
      <c r="W48" s="373"/>
      <c r="X48" s="373"/>
      <c r="Y48" s="373"/>
      <c r="Z48" s="373"/>
      <c r="AA48" s="373"/>
      <c r="AB48" s="373"/>
      <c r="AC48" s="373"/>
      <c r="AD48" s="373"/>
      <c r="AE48" s="373"/>
      <c r="AF48" s="373"/>
      <c r="AG48" s="373"/>
      <c r="AH48" s="373"/>
      <c r="AI48" s="373"/>
      <c r="AJ48" s="373"/>
      <c r="AK48" s="373"/>
      <c r="AL48" s="373"/>
      <c r="AM48" s="373"/>
      <c r="AN48" s="373"/>
      <c r="AO48" s="373"/>
      <c r="AP48" s="373"/>
      <c r="AQ48" s="373"/>
      <c r="AR48" s="373"/>
      <c r="AS48" s="373"/>
      <c r="AT48" s="373"/>
      <c r="AU48" s="373"/>
    </row>
    <row r="49" spans="1:50" s="506" customFormat="1" ht="13.5" customHeight="1">
      <c r="A49" s="530">
        <v>15</v>
      </c>
      <c r="B49" s="34" t="s">
        <v>96</v>
      </c>
      <c r="C49" s="34">
        <v>139001101</v>
      </c>
      <c r="D49" s="34" t="s">
        <v>160</v>
      </c>
      <c r="E49" s="34" t="s">
        <v>122</v>
      </c>
      <c r="F49" s="534">
        <f>F50</f>
        <v>1.32</v>
      </c>
      <c r="G49" s="79"/>
      <c r="H49" s="532">
        <f>F49*G49</f>
        <v>0</v>
      </c>
      <c r="I49" s="819" t="s">
        <v>738</v>
      </c>
      <c r="J49" s="505"/>
      <c r="K49" s="505"/>
      <c r="L49" s="505"/>
      <c r="M49" s="505"/>
      <c r="N49" s="505"/>
      <c r="O49" s="505"/>
      <c r="P49" s="505"/>
      <c r="Q49" s="505"/>
      <c r="R49" s="505"/>
      <c r="S49" s="505"/>
      <c r="T49" s="505"/>
      <c r="U49" s="505"/>
      <c r="V49" s="505"/>
      <c r="W49" s="505"/>
      <c r="X49" s="505"/>
      <c r="Y49" s="505"/>
      <c r="Z49" s="505"/>
      <c r="AA49" s="505"/>
      <c r="AB49" s="505"/>
      <c r="AC49" s="505"/>
      <c r="AD49" s="505"/>
      <c r="AE49" s="505"/>
      <c r="AF49" s="505"/>
      <c r="AG49" s="505"/>
      <c r="AH49" s="505"/>
      <c r="AI49" s="505"/>
      <c r="AJ49" s="505"/>
      <c r="AK49" s="505"/>
      <c r="AL49" s="505"/>
      <c r="AM49" s="505"/>
      <c r="AN49" s="505"/>
      <c r="AO49" s="505"/>
      <c r="AP49" s="505"/>
      <c r="AQ49" s="505"/>
      <c r="AR49" s="505"/>
      <c r="AS49" s="505"/>
      <c r="AT49" s="505"/>
      <c r="AU49" s="505"/>
    </row>
    <row r="50" spans="1:50" s="506" customFormat="1" ht="13.5" customHeight="1">
      <c r="A50" s="530"/>
      <c r="B50" s="34"/>
      <c r="C50" s="36"/>
      <c r="D50" s="36" t="s">
        <v>465</v>
      </c>
      <c r="E50" s="36"/>
      <c r="F50" s="548">
        <f>(13.2)*0.1</f>
        <v>1.32</v>
      </c>
      <c r="G50" s="553"/>
      <c r="H50" s="553"/>
      <c r="I50" s="533"/>
      <c r="J50" s="505"/>
      <c r="K50" s="505"/>
      <c r="L50" s="505"/>
      <c r="M50" s="505"/>
      <c r="N50" s="505"/>
      <c r="O50" s="505"/>
      <c r="P50" s="505"/>
      <c r="Q50" s="505"/>
      <c r="R50" s="505"/>
      <c r="S50" s="505"/>
      <c r="T50" s="505"/>
      <c r="U50" s="505"/>
      <c r="V50" s="505"/>
      <c r="W50" s="505"/>
      <c r="X50" s="505"/>
      <c r="Y50" s="505"/>
      <c r="Z50" s="505"/>
      <c r="AA50" s="505"/>
      <c r="AB50" s="505"/>
      <c r="AC50" s="505"/>
      <c r="AD50" s="505"/>
      <c r="AE50" s="505"/>
      <c r="AF50" s="505"/>
      <c r="AG50" s="505"/>
      <c r="AH50" s="505"/>
      <c r="AI50" s="505"/>
      <c r="AJ50" s="505"/>
      <c r="AK50" s="505"/>
      <c r="AL50" s="505"/>
      <c r="AM50" s="505"/>
      <c r="AN50" s="505"/>
      <c r="AO50" s="505"/>
      <c r="AP50" s="505"/>
      <c r="AQ50" s="505"/>
      <c r="AR50" s="505"/>
      <c r="AS50" s="505"/>
      <c r="AT50" s="505"/>
      <c r="AU50" s="505"/>
    </row>
    <row r="51" spans="1:50" s="506" customFormat="1" ht="13.5" customHeight="1">
      <c r="A51" s="530">
        <v>16</v>
      </c>
      <c r="B51" s="34" t="s">
        <v>96</v>
      </c>
      <c r="C51" s="34">
        <v>151101101</v>
      </c>
      <c r="D51" s="34" t="s">
        <v>169</v>
      </c>
      <c r="E51" s="34" t="s">
        <v>98</v>
      </c>
      <c r="F51" s="534">
        <f>SUM(F54:F56)</f>
        <v>16.5</v>
      </c>
      <c r="G51" s="79"/>
      <c r="H51" s="532">
        <f>F51*G51</f>
        <v>0</v>
      </c>
      <c r="I51" s="819" t="s">
        <v>738</v>
      </c>
      <c r="J51" s="505"/>
      <c r="K51" s="505"/>
      <c r="L51" s="505"/>
      <c r="M51" s="505"/>
      <c r="N51" s="505"/>
      <c r="O51" s="505"/>
      <c r="P51" s="505"/>
      <c r="Q51" s="505"/>
      <c r="R51" s="505"/>
      <c r="S51" s="505"/>
      <c r="T51" s="505"/>
      <c r="U51" s="505"/>
      <c r="V51" s="505"/>
      <c r="W51" s="505"/>
      <c r="X51" s="505"/>
      <c r="Y51" s="505"/>
      <c r="Z51" s="505"/>
      <c r="AA51" s="505"/>
      <c r="AB51" s="505"/>
      <c r="AC51" s="505"/>
      <c r="AD51" s="505"/>
      <c r="AE51" s="505"/>
      <c r="AF51" s="505"/>
      <c r="AG51" s="505"/>
      <c r="AH51" s="505"/>
      <c r="AI51" s="505"/>
      <c r="AJ51" s="505"/>
      <c r="AK51" s="505"/>
      <c r="AL51" s="505"/>
      <c r="AM51" s="505"/>
      <c r="AN51" s="505"/>
      <c r="AO51" s="505"/>
      <c r="AP51" s="505"/>
      <c r="AQ51" s="505"/>
      <c r="AR51" s="505"/>
      <c r="AS51" s="505"/>
      <c r="AT51" s="505"/>
      <c r="AU51" s="505"/>
    </row>
    <row r="52" spans="1:50" s="506" customFormat="1" ht="13.5" customHeight="1">
      <c r="A52" s="530"/>
      <c r="B52" s="34"/>
      <c r="C52" s="36"/>
      <c r="D52" s="36" t="s">
        <v>466</v>
      </c>
      <c r="E52" s="36"/>
      <c r="F52" s="505"/>
      <c r="G52" s="553"/>
      <c r="H52" s="553"/>
      <c r="I52" s="533"/>
      <c r="J52" s="540"/>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2"/>
      <c r="AK52" s="452"/>
      <c r="AL52" s="452"/>
      <c r="AM52" s="452"/>
      <c r="AN52" s="452"/>
      <c r="AO52" s="452"/>
      <c r="AP52" s="452"/>
      <c r="AQ52" s="452"/>
      <c r="AR52" s="452"/>
      <c r="AS52" s="452"/>
      <c r="AT52" s="452"/>
      <c r="AU52" s="452"/>
      <c r="AV52" s="541"/>
      <c r="AW52" s="541"/>
      <c r="AX52" s="541"/>
    </row>
    <row r="53" spans="1:50" s="506" customFormat="1" ht="27" customHeight="1">
      <c r="A53" s="530"/>
      <c r="B53" s="34"/>
      <c r="C53" s="36"/>
      <c r="D53" s="36" t="s">
        <v>824</v>
      </c>
      <c r="E53" s="36"/>
      <c r="F53" s="1002" t="s">
        <v>457</v>
      </c>
      <c r="G53" s="1003"/>
      <c r="H53" s="1004"/>
      <c r="I53" s="533"/>
      <c r="J53" s="540"/>
      <c r="K53" s="452"/>
      <c r="L53" s="452"/>
      <c r="M53" s="452"/>
      <c r="N53" s="452"/>
      <c r="O53" s="452"/>
      <c r="P53" s="452"/>
      <c r="Q53" s="452"/>
      <c r="R53" s="452"/>
      <c r="S53" s="452"/>
      <c r="T53" s="452"/>
      <c r="U53" s="452"/>
      <c r="V53" s="452"/>
      <c r="W53" s="452"/>
      <c r="X53" s="452"/>
      <c r="Y53" s="452"/>
      <c r="Z53" s="452"/>
      <c r="AA53" s="452"/>
      <c r="AB53" s="452"/>
      <c r="AC53" s="452"/>
      <c r="AD53" s="452"/>
      <c r="AE53" s="452"/>
      <c r="AF53" s="452"/>
      <c r="AG53" s="452"/>
      <c r="AH53" s="452"/>
      <c r="AI53" s="452"/>
      <c r="AJ53" s="452"/>
      <c r="AK53" s="452"/>
      <c r="AL53" s="452"/>
      <c r="AM53" s="452"/>
      <c r="AN53" s="452"/>
      <c r="AO53" s="452"/>
      <c r="AP53" s="452"/>
      <c r="AQ53" s="452"/>
      <c r="AR53" s="452"/>
      <c r="AS53" s="452"/>
      <c r="AT53" s="452"/>
      <c r="AU53" s="452"/>
      <c r="AV53" s="541"/>
      <c r="AW53" s="541"/>
      <c r="AX53" s="541"/>
    </row>
    <row r="54" spans="1:50" s="506" customFormat="1" ht="13.5" customHeight="1">
      <c r="A54" s="530"/>
      <c r="B54" s="34"/>
      <c r="C54" s="36"/>
      <c r="D54" s="36" t="s">
        <v>467</v>
      </c>
      <c r="E54" s="36"/>
      <c r="F54" s="548">
        <f>((6.8)*1*2)*0.5</f>
        <v>6.8</v>
      </c>
      <c r="G54" s="553"/>
      <c r="H54" s="553"/>
      <c r="I54" s="533"/>
      <c r="J54" s="540"/>
      <c r="K54" s="452"/>
      <c r="L54" s="452"/>
      <c r="M54" s="452"/>
      <c r="N54" s="452"/>
      <c r="O54" s="452"/>
      <c r="P54" s="452"/>
      <c r="Q54" s="452"/>
      <c r="R54" s="452"/>
      <c r="S54" s="452"/>
      <c r="T54" s="452"/>
      <c r="U54" s="452"/>
      <c r="V54" s="452"/>
      <c r="W54" s="452"/>
      <c r="X54" s="452"/>
      <c r="Y54" s="452"/>
      <c r="Z54" s="452"/>
      <c r="AA54" s="452"/>
      <c r="AB54" s="452"/>
      <c r="AC54" s="452"/>
      <c r="AD54" s="452"/>
      <c r="AE54" s="452"/>
      <c r="AF54" s="452"/>
      <c r="AG54" s="452"/>
      <c r="AH54" s="452"/>
      <c r="AI54" s="452"/>
      <c r="AJ54" s="452"/>
      <c r="AK54" s="452"/>
      <c r="AL54" s="452"/>
      <c r="AM54" s="452"/>
      <c r="AN54" s="452"/>
      <c r="AO54" s="452"/>
      <c r="AP54" s="452"/>
      <c r="AQ54" s="452"/>
      <c r="AR54" s="452"/>
      <c r="AS54" s="452"/>
      <c r="AT54" s="452"/>
      <c r="AU54" s="452"/>
      <c r="AV54" s="541"/>
      <c r="AW54" s="541"/>
      <c r="AX54" s="541"/>
    </row>
    <row r="55" spans="1:50" s="506" customFormat="1" ht="13.5" customHeight="1">
      <c r="A55" s="530"/>
      <c r="B55" s="34"/>
      <c r="C55" s="36"/>
      <c r="D55" s="36" t="s">
        <v>469</v>
      </c>
      <c r="E55" s="36"/>
      <c r="F55" s="548">
        <f>((1.5)*1*2)*0.5</f>
        <v>1.5</v>
      </c>
      <c r="G55" s="553"/>
      <c r="H55" s="553"/>
      <c r="I55" s="533"/>
      <c r="J55" s="540"/>
      <c r="K55" s="452"/>
      <c r="L55" s="452"/>
      <c r="M55" s="452"/>
      <c r="N55" s="452"/>
      <c r="O55" s="452"/>
      <c r="P55" s="452"/>
      <c r="Q55" s="452"/>
      <c r="R55" s="452"/>
      <c r="S55" s="452"/>
      <c r="T55" s="452"/>
      <c r="U55" s="452"/>
      <c r="V55" s="452"/>
      <c r="W55" s="452"/>
      <c r="X55" s="452"/>
      <c r="Y55" s="452"/>
      <c r="Z55" s="452"/>
      <c r="AA55" s="452"/>
      <c r="AB55" s="452"/>
      <c r="AC55" s="452"/>
      <c r="AD55" s="452"/>
      <c r="AE55" s="452"/>
      <c r="AF55" s="452"/>
      <c r="AG55" s="452"/>
      <c r="AH55" s="452"/>
      <c r="AI55" s="452"/>
      <c r="AJ55" s="452"/>
      <c r="AK55" s="452"/>
      <c r="AL55" s="452"/>
      <c r="AM55" s="452"/>
      <c r="AN55" s="452"/>
      <c r="AO55" s="452"/>
      <c r="AP55" s="452"/>
      <c r="AQ55" s="452"/>
      <c r="AR55" s="452"/>
      <c r="AS55" s="452"/>
      <c r="AT55" s="452"/>
      <c r="AU55" s="452"/>
      <c r="AV55" s="541"/>
      <c r="AW55" s="541"/>
      <c r="AX55" s="541"/>
    </row>
    <row r="56" spans="1:50" s="506" customFormat="1" ht="13.5" customHeight="1">
      <c r="A56" s="530"/>
      <c r="B56" s="34"/>
      <c r="C56" s="36"/>
      <c r="D56" s="36" t="s">
        <v>468</v>
      </c>
      <c r="E56" s="36"/>
      <c r="F56" s="548">
        <f>((9.7-1.5)*1*2)*0.5</f>
        <v>8.1999999999999993</v>
      </c>
      <c r="G56" s="553"/>
      <c r="H56" s="553"/>
      <c r="I56" s="533"/>
      <c r="J56" s="540"/>
      <c r="K56" s="452"/>
      <c r="L56" s="452"/>
      <c r="M56" s="452"/>
      <c r="N56" s="452"/>
      <c r="O56" s="452"/>
      <c r="P56" s="452"/>
      <c r="Q56" s="452"/>
      <c r="R56" s="452"/>
      <c r="S56" s="452"/>
      <c r="T56" s="452"/>
      <c r="U56" s="452"/>
      <c r="V56" s="452"/>
      <c r="W56" s="452"/>
      <c r="X56" s="452"/>
      <c r="Y56" s="452"/>
      <c r="Z56" s="452"/>
      <c r="AA56" s="452"/>
      <c r="AB56" s="452"/>
      <c r="AC56" s="452"/>
      <c r="AD56" s="452"/>
      <c r="AE56" s="452"/>
      <c r="AF56" s="452"/>
      <c r="AG56" s="452"/>
      <c r="AH56" s="452"/>
      <c r="AI56" s="452"/>
      <c r="AJ56" s="452"/>
      <c r="AK56" s="452"/>
      <c r="AL56" s="452"/>
      <c r="AM56" s="452"/>
      <c r="AN56" s="452"/>
      <c r="AO56" s="452"/>
      <c r="AP56" s="452"/>
      <c r="AQ56" s="452"/>
      <c r="AR56" s="452"/>
      <c r="AS56" s="452"/>
      <c r="AT56" s="452"/>
      <c r="AU56" s="452"/>
      <c r="AV56" s="541"/>
      <c r="AW56" s="541"/>
      <c r="AX56" s="541"/>
    </row>
    <row r="57" spans="1:50" s="506" customFormat="1" ht="13.5" customHeight="1">
      <c r="A57" s="530">
        <v>17</v>
      </c>
      <c r="B57" s="34" t="s">
        <v>96</v>
      </c>
      <c r="C57" s="34">
        <v>151101111</v>
      </c>
      <c r="D57" s="34" t="s">
        <v>170</v>
      </c>
      <c r="E57" s="34" t="s">
        <v>98</v>
      </c>
      <c r="F57" s="534">
        <f>F51</f>
        <v>16.5</v>
      </c>
      <c r="G57" s="79"/>
      <c r="H57" s="532">
        <f>F57*G57</f>
        <v>0</v>
      </c>
      <c r="I57" s="819" t="s">
        <v>738</v>
      </c>
      <c r="J57" s="540"/>
      <c r="K57" s="452"/>
      <c r="L57" s="452"/>
      <c r="M57" s="452"/>
      <c r="N57" s="452"/>
      <c r="O57" s="452"/>
      <c r="P57" s="452"/>
      <c r="Q57" s="452"/>
      <c r="R57" s="452"/>
      <c r="S57" s="452"/>
      <c r="T57" s="452"/>
      <c r="U57" s="452"/>
      <c r="V57" s="452"/>
      <c r="W57" s="452"/>
      <c r="X57" s="452"/>
      <c r="Y57" s="452"/>
      <c r="Z57" s="452"/>
      <c r="AA57" s="452"/>
      <c r="AB57" s="452"/>
      <c r="AC57" s="452"/>
      <c r="AD57" s="452"/>
      <c r="AE57" s="452"/>
      <c r="AF57" s="452"/>
      <c r="AG57" s="452"/>
      <c r="AH57" s="452"/>
      <c r="AI57" s="452"/>
      <c r="AJ57" s="452"/>
      <c r="AK57" s="452"/>
      <c r="AL57" s="452"/>
      <c r="AM57" s="452"/>
      <c r="AN57" s="452"/>
      <c r="AO57" s="452"/>
      <c r="AP57" s="452"/>
      <c r="AQ57" s="452"/>
      <c r="AR57" s="452"/>
      <c r="AS57" s="452"/>
      <c r="AT57" s="452"/>
      <c r="AU57" s="452"/>
      <c r="AV57" s="541"/>
      <c r="AW57" s="541"/>
      <c r="AX57" s="541"/>
    </row>
    <row r="58" spans="1:50" s="508" customFormat="1" ht="13.5" customHeight="1">
      <c r="A58" s="530">
        <v>18</v>
      </c>
      <c r="B58" s="34" t="s">
        <v>96</v>
      </c>
      <c r="C58" s="34">
        <v>171152501</v>
      </c>
      <c r="D58" s="34" t="s">
        <v>171</v>
      </c>
      <c r="E58" s="34" t="s">
        <v>98</v>
      </c>
      <c r="F58" s="673">
        <f>SUM(F59:F59)</f>
        <v>8.3000000000000007</v>
      </c>
      <c r="G58" s="79"/>
      <c r="H58" s="532">
        <f>F58*G58</f>
        <v>0</v>
      </c>
      <c r="I58" s="819" t="s">
        <v>738</v>
      </c>
      <c r="J58" s="554"/>
      <c r="K58" s="505"/>
      <c r="L58" s="505"/>
      <c r="M58" s="505"/>
      <c r="N58" s="505"/>
      <c r="O58" s="505"/>
      <c r="P58" s="505"/>
      <c r="Q58" s="505"/>
      <c r="R58" s="505"/>
      <c r="S58" s="505"/>
      <c r="T58" s="505"/>
      <c r="U58" s="505"/>
      <c r="V58" s="505"/>
      <c r="W58" s="505"/>
      <c r="X58" s="505"/>
      <c r="Y58" s="505"/>
      <c r="Z58" s="505"/>
      <c r="AA58" s="505"/>
      <c r="AB58" s="505"/>
      <c r="AC58" s="505"/>
      <c r="AD58" s="505"/>
      <c r="AE58" s="505"/>
      <c r="AF58" s="505"/>
      <c r="AG58" s="505"/>
      <c r="AH58" s="505"/>
      <c r="AI58" s="505"/>
      <c r="AJ58" s="505"/>
      <c r="AK58" s="505"/>
      <c r="AL58" s="505"/>
      <c r="AM58" s="505"/>
      <c r="AN58" s="505"/>
      <c r="AO58" s="505"/>
      <c r="AP58" s="505"/>
      <c r="AQ58" s="505"/>
      <c r="AR58" s="505"/>
      <c r="AS58" s="505"/>
      <c r="AT58" s="505"/>
      <c r="AU58" s="505"/>
      <c r="AV58" s="506"/>
      <c r="AW58" s="506"/>
      <c r="AX58" s="506"/>
    </row>
    <row r="59" spans="1:50" s="508" customFormat="1" ht="27" customHeight="1">
      <c r="A59" s="832"/>
      <c r="B59" s="833"/>
      <c r="C59" s="833"/>
      <c r="D59" s="36" t="s">
        <v>644</v>
      </c>
      <c r="E59" s="34"/>
      <c r="F59" s="548">
        <f>(6.8)*1+1.5</f>
        <v>8.3000000000000007</v>
      </c>
      <c r="G59" s="834"/>
      <c r="H59" s="532"/>
      <c r="I59" s="835"/>
      <c r="J59" s="505"/>
      <c r="K59" s="505"/>
      <c r="L59" s="505"/>
      <c r="M59" s="505"/>
      <c r="N59" s="505"/>
      <c r="O59" s="505"/>
      <c r="P59" s="505"/>
      <c r="Q59" s="505"/>
      <c r="R59" s="505"/>
      <c r="S59" s="505"/>
      <c r="T59" s="505"/>
      <c r="U59" s="505"/>
      <c r="V59" s="505"/>
      <c r="W59" s="505"/>
      <c r="X59" s="505"/>
      <c r="Y59" s="505"/>
      <c r="Z59" s="505"/>
      <c r="AA59" s="505"/>
      <c r="AB59" s="505"/>
      <c r="AC59" s="505"/>
      <c r="AD59" s="505"/>
      <c r="AE59" s="505"/>
      <c r="AF59" s="505"/>
      <c r="AG59" s="505"/>
      <c r="AH59" s="505"/>
      <c r="AI59" s="505"/>
      <c r="AJ59" s="505"/>
      <c r="AK59" s="505"/>
      <c r="AL59" s="505"/>
      <c r="AM59" s="505"/>
      <c r="AN59" s="505"/>
      <c r="AO59" s="505"/>
      <c r="AP59" s="505"/>
      <c r="AQ59" s="505"/>
      <c r="AR59" s="505"/>
      <c r="AS59" s="505"/>
      <c r="AT59" s="505"/>
      <c r="AU59" s="505"/>
      <c r="AV59" s="506"/>
      <c r="AW59" s="506"/>
      <c r="AX59" s="506"/>
    </row>
    <row r="60" spans="1:50" s="506" customFormat="1" ht="13.5" customHeight="1">
      <c r="A60" s="530">
        <v>19</v>
      </c>
      <c r="B60" s="34" t="s">
        <v>96</v>
      </c>
      <c r="C60" s="34">
        <v>174151101</v>
      </c>
      <c r="D60" s="34" t="s">
        <v>161</v>
      </c>
      <c r="E60" s="34" t="s">
        <v>122</v>
      </c>
      <c r="F60" s="534">
        <f>SUM(F63:F66)</f>
        <v>13.2</v>
      </c>
      <c r="G60" s="79"/>
      <c r="H60" s="532">
        <f>F60*G60</f>
        <v>0</v>
      </c>
      <c r="I60" s="819" t="s">
        <v>738</v>
      </c>
      <c r="J60" s="505"/>
      <c r="K60" s="505"/>
      <c r="L60" s="505"/>
      <c r="M60" s="505"/>
      <c r="N60" s="505"/>
      <c r="O60" s="505"/>
      <c r="P60" s="505"/>
      <c r="Q60" s="505"/>
      <c r="R60" s="505"/>
      <c r="S60" s="505"/>
      <c r="T60" s="505"/>
      <c r="U60" s="373"/>
      <c r="V60" s="373"/>
      <c r="W60" s="373"/>
      <c r="X60" s="373"/>
      <c r="Y60" s="373"/>
      <c r="Z60" s="373"/>
      <c r="AA60" s="373"/>
      <c r="AB60" s="373"/>
      <c r="AC60" s="373"/>
      <c r="AD60" s="373"/>
      <c r="AE60" s="373"/>
      <c r="AF60" s="373"/>
      <c r="AG60" s="373"/>
      <c r="AH60" s="373"/>
      <c r="AI60" s="373"/>
      <c r="AJ60" s="373"/>
      <c r="AK60" s="373"/>
      <c r="AL60" s="373"/>
      <c r="AM60" s="373"/>
      <c r="AN60" s="373"/>
      <c r="AO60" s="373"/>
      <c r="AP60" s="373"/>
      <c r="AQ60" s="373"/>
      <c r="AR60" s="373"/>
      <c r="AS60" s="373"/>
      <c r="AT60" s="373"/>
      <c r="AU60" s="373"/>
      <c r="AV60" s="563"/>
      <c r="AW60" s="563"/>
      <c r="AX60" s="563"/>
    </row>
    <row r="61" spans="1:50" s="506" customFormat="1" ht="13.5" customHeight="1">
      <c r="A61" s="530"/>
      <c r="B61" s="34"/>
      <c r="C61" s="36"/>
      <c r="D61" s="36" t="s">
        <v>470</v>
      </c>
      <c r="E61" s="36"/>
      <c r="F61" s="505"/>
      <c r="G61" s="553"/>
      <c r="H61" s="553"/>
      <c r="I61" s="533"/>
      <c r="J61" s="1006"/>
      <c r="K61" s="505"/>
      <c r="L61" s="505"/>
      <c r="M61" s="505"/>
      <c r="N61" s="505"/>
      <c r="O61" s="505"/>
      <c r="P61" s="505"/>
      <c r="Q61" s="505"/>
      <c r="R61" s="505"/>
      <c r="S61" s="505"/>
      <c r="T61" s="505"/>
      <c r="U61" s="505"/>
      <c r="V61" s="505"/>
      <c r="W61" s="505"/>
      <c r="X61" s="505"/>
      <c r="Y61" s="505"/>
      <c r="Z61" s="505"/>
      <c r="AA61" s="505"/>
      <c r="AB61" s="505"/>
      <c r="AC61" s="505"/>
      <c r="AD61" s="505"/>
      <c r="AE61" s="505"/>
      <c r="AF61" s="505"/>
      <c r="AG61" s="505"/>
      <c r="AH61" s="505"/>
      <c r="AI61" s="505"/>
      <c r="AJ61" s="505"/>
      <c r="AK61" s="505"/>
      <c r="AL61" s="505"/>
      <c r="AM61" s="505"/>
      <c r="AN61" s="505"/>
      <c r="AO61" s="505"/>
      <c r="AP61" s="505"/>
      <c r="AQ61" s="505"/>
      <c r="AR61" s="505"/>
      <c r="AS61" s="505"/>
      <c r="AT61" s="505"/>
      <c r="AU61" s="505"/>
    </row>
    <row r="62" spans="1:50" s="506" customFormat="1" ht="27" customHeight="1">
      <c r="A62" s="530"/>
      <c r="B62" s="34"/>
      <c r="C62" s="36"/>
      <c r="D62" s="36" t="s">
        <v>825</v>
      </c>
      <c r="E62" s="36"/>
      <c r="F62" s="1002" t="s">
        <v>457</v>
      </c>
      <c r="G62" s="1003"/>
      <c r="H62" s="1004"/>
      <c r="I62" s="533"/>
      <c r="J62" s="505"/>
      <c r="K62" s="505"/>
      <c r="L62" s="505"/>
      <c r="M62" s="505"/>
      <c r="N62" s="505"/>
      <c r="O62" s="505"/>
      <c r="P62" s="505"/>
      <c r="Q62" s="505"/>
      <c r="R62" s="505"/>
      <c r="S62" s="505"/>
      <c r="T62" s="505"/>
      <c r="U62" s="505"/>
      <c r="V62" s="505"/>
      <c r="W62" s="505"/>
      <c r="X62" s="505"/>
      <c r="Y62" s="505"/>
      <c r="Z62" s="505"/>
      <c r="AA62" s="505"/>
      <c r="AB62" s="505"/>
      <c r="AC62" s="505"/>
      <c r="AD62" s="505"/>
      <c r="AE62" s="505"/>
      <c r="AF62" s="505"/>
      <c r="AG62" s="505"/>
      <c r="AH62" s="505"/>
      <c r="AI62" s="505"/>
      <c r="AJ62" s="505"/>
      <c r="AK62" s="505"/>
      <c r="AL62" s="505"/>
      <c r="AM62" s="505"/>
      <c r="AN62" s="505"/>
      <c r="AO62" s="505"/>
      <c r="AP62" s="505"/>
      <c r="AQ62" s="505"/>
      <c r="AR62" s="505"/>
      <c r="AS62" s="505"/>
      <c r="AT62" s="505"/>
      <c r="AU62" s="505"/>
    </row>
    <row r="63" spans="1:50" s="506" customFormat="1" ht="13.5" customHeight="1">
      <c r="A63" s="530"/>
      <c r="B63" s="34"/>
      <c r="C63" s="36"/>
      <c r="D63" s="36" t="s">
        <v>471</v>
      </c>
      <c r="E63" s="36"/>
      <c r="F63" s="548">
        <f>(6.8)*0.8*1</f>
        <v>5.44</v>
      </c>
      <c r="G63" s="553"/>
      <c r="H63" s="553"/>
      <c r="I63" s="533"/>
      <c r="J63" s="505"/>
      <c r="K63" s="505"/>
      <c r="L63" s="505"/>
      <c r="M63" s="505"/>
      <c r="N63" s="505"/>
      <c r="O63" s="505"/>
      <c r="P63" s="505"/>
      <c r="Q63" s="505"/>
      <c r="R63" s="505"/>
      <c r="S63" s="505"/>
      <c r="T63" s="505"/>
      <c r="U63" s="505"/>
      <c r="V63" s="505"/>
      <c r="W63" s="505"/>
      <c r="X63" s="505"/>
      <c r="Y63" s="505"/>
      <c r="Z63" s="505"/>
      <c r="AA63" s="505"/>
      <c r="AB63" s="505"/>
      <c r="AC63" s="505"/>
      <c r="AD63" s="505"/>
      <c r="AE63" s="505"/>
      <c r="AF63" s="505"/>
      <c r="AG63" s="505"/>
      <c r="AH63" s="505"/>
      <c r="AI63" s="505"/>
      <c r="AJ63" s="505"/>
      <c r="AK63" s="505"/>
      <c r="AL63" s="505"/>
      <c r="AM63" s="505"/>
      <c r="AN63" s="505"/>
      <c r="AO63" s="505"/>
      <c r="AP63" s="505"/>
      <c r="AQ63" s="505"/>
      <c r="AR63" s="505"/>
      <c r="AS63" s="505"/>
      <c r="AT63" s="505"/>
      <c r="AU63" s="505"/>
    </row>
    <row r="64" spans="1:50" s="506" customFormat="1" ht="13.5" customHeight="1">
      <c r="A64" s="530"/>
      <c r="B64" s="34"/>
      <c r="C64" s="36"/>
      <c r="D64" s="36" t="s">
        <v>472</v>
      </c>
      <c r="E64" s="36"/>
      <c r="F64" s="548">
        <f>(1.5)*0.8*1</f>
        <v>1.2000000000000002</v>
      </c>
      <c r="G64" s="553"/>
      <c r="H64" s="553"/>
      <c r="I64" s="533"/>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5"/>
      <c r="AK64" s="505"/>
      <c r="AL64" s="505"/>
      <c r="AM64" s="505"/>
      <c r="AN64" s="505"/>
      <c r="AO64" s="505"/>
      <c r="AP64" s="505"/>
      <c r="AQ64" s="505"/>
      <c r="AR64" s="505"/>
      <c r="AS64" s="505"/>
      <c r="AT64" s="505"/>
      <c r="AU64" s="505"/>
    </row>
    <row r="65" spans="1:50" s="506" customFormat="1" ht="13.5" customHeight="1">
      <c r="A65" s="530"/>
      <c r="B65" s="34"/>
      <c r="C65" s="36"/>
      <c r="D65" s="36" t="s">
        <v>473</v>
      </c>
      <c r="E65" s="36"/>
      <c r="F65" s="505"/>
      <c r="G65" s="553"/>
      <c r="H65" s="553"/>
      <c r="I65" s="533"/>
      <c r="J65" s="505"/>
      <c r="K65" s="505"/>
      <c r="L65" s="505"/>
      <c r="M65" s="505"/>
      <c r="N65" s="505"/>
      <c r="O65" s="505"/>
      <c r="P65" s="505"/>
      <c r="Q65" s="505"/>
      <c r="R65" s="505"/>
      <c r="S65" s="505"/>
      <c r="T65" s="505"/>
      <c r="U65" s="505"/>
      <c r="V65" s="505"/>
      <c r="W65" s="505"/>
      <c r="X65" s="505"/>
      <c r="Y65" s="505"/>
      <c r="Z65" s="505"/>
      <c r="AA65" s="505"/>
      <c r="AB65" s="505"/>
      <c r="AC65" s="505"/>
      <c r="AD65" s="505"/>
      <c r="AE65" s="505"/>
      <c r="AF65" s="505"/>
      <c r="AG65" s="505"/>
      <c r="AH65" s="505"/>
      <c r="AI65" s="505"/>
      <c r="AJ65" s="505"/>
      <c r="AK65" s="505"/>
      <c r="AL65" s="505"/>
      <c r="AM65" s="505"/>
      <c r="AN65" s="505"/>
      <c r="AO65" s="505"/>
      <c r="AP65" s="505"/>
      <c r="AQ65" s="505"/>
      <c r="AR65" s="505"/>
      <c r="AS65" s="505"/>
      <c r="AT65" s="505"/>
      <c r="AU65" s="505"/>
    </row>
    <row r="66" spans="1:50" s="506" customFormat="1" ht="13.5" customHeight="1">
      <c r="A66" s="530"/>
      <c r="B66" s="34"/>
      <c r="C66" s="36"/>
      <c r="D66" s="36" t="s">
        <v>474</v>
      </c>
      <c r="E66" s="36"/>
      <c r="F66" s="548">
        <f>(9.7-1.5)*0.8*1</f>
        <v>6.56</v>
      </c>
      <c r="G66" s="553"/>
      <c r="H66" s="553"/>
      <c r="I66" s="533"/>
      <c r="J66" s="505"/>
      <c r="K66" s="505"/>
      <c r="L66" s="505"/>
      <c r="M66" s="505"/>
      <c r="N66" s="505"/>
      <c r="O66" s="505"/>
      <c r="P66" s="505"/>
      <c r="Q66" s="505"/>
      <c r="R66" s="505"/>
      <c r="S66" s="505"/>
      <c r="T66" s="505"/>
      <c r="U66" s="505"/>
      <c r="V66" s="505"/>
      <c r="W66" s="505"/>
      <c r="X66" s="505"/>
      <c r="Y66" s="505"/>
      <c r="Z66" s="505"/>
      <c r="AA66" s="505"/>
      <c r="AB66" s="505"/>
      <c r="AC66" s="505"/>
      <c r="AD66" s="505"/>
      <c r="AE66" s="505"/>
      <c r="AF66" s="505"/>
      <c r="AG66" s="505"/>
      <c r="AH66" s="505"/>
      <c r="AI66" s="505"/>
      <c r="AJ66" s="505"/>
      <c r="AK66" s="505"/>
      <c r="AL66" s="505"/>
      <c r="AM66" s="505"/>
      <c r="AN66" s="505"/>
      <c r="AO66" s="505"/>
      <c r="AP66" s="505"/>
      <c r="AQ66" s="505"/>
      <c r="AR66" s="505"/>
      <c r="AS66" s="505"/>
      <c r="AT66" s="505"/>
      <c r="AU66" s="505"/>
    </row>
    <row r="67" spans="1:50" s="508" customFormat="1" ht="13.5" customHeight="1">
      <c r="A67" s="836">
        <v>20</v>
      </c>
      <c r="B67" s="837" t="s">
        <v>172</v>
      </c>
      <c r="C67" s="837" t="s">
        <v>173</v>
      </c>
      <c r="D67" s="838" t="s">
        <v>174</v>
      </c>
      <c r="E67" s="37" t="s">
        <v>125</v>
      </c>
      <c r="F67" s="839">
        <f>SUM(F68:F68)</f>
        <v>13.280000000000001</v>
      </c>
      <c r="G67" s="80"/>
      <c r="H67" s="840">
        <f>F67*G67</f>
        <v>0</v>
      </c>
      <c r="I67" s="841" t="s">
        <v>738</v>
      </c>
      <c r="J67" s="505"/>
      <c r="K67" s="505"/>
      <c r="L67" s="505"/>
      <c r="M67" s="505"/>
      <c r="N67" s="505"/>
      <c r="O67" s="505"/>
      <c r="P67" s="505"/>
      <c r="Q67" s="505"/>
      <c r="R67" s="505"/>
      <c r="S67" s="505"/>
      <c r="T67" s="505"/>
      <c r="U67" s="505"/>
      <c r="V67" s="505"/>
      <c r="W67" s="505"/>
      <c r="X67" s="505"/>
      <c r="Y67" s="505"/>
      <c r="Z67" s="505"/>
      <c r="AA67" s="505"/>
      <c r="AB67" s="505"/>
      <c r="AC67" s="505"/>
      <c r="AD67" s="505"/>
      <c r="AE67" s="505"/>
      <c r="AF67" s="505"/>
      <c r="AG67" s="505"/>
      <c r="AH67" s="505"/>
      <c r="AI67" s="505"/>
      <c r="AJ67" s="505"/>
      <c r="AK67" s="505"/>
      <c r="AL67" s="505"/>
      <c r="AM67" s="505"/>
      <c r="AN67" s="505"/>
      <c r="AO67" s="505"/>
      <c r="AP67" s="505"/>
      <c r="AQ67" s="505"/>
      <c r="AR67" s="505"/>
      <c r="AS67" s="505"/>
      <c r="AT67" s="505"/>
      <c r="AU67" s="505"/>
      <c r="AV67" s="506"/>
      <c r="AW67" s="506"/>
      <c r="AX67" s="506"/>
    </row>
    <row r="68" spans="1:50" s="508" customFormat="1" ht="13.5" customHeight="1">
      <c r="A68" s="842"/>
      <c r="B68" s="843"/>
      <c r="C68" s="843"/>
      <c r="D68" s="39" t="s">
        <v>475</v>
      </c>
      <c r="E68" s="37"/>
      <c r="F68" s="844">
        <f>(5.44+1.2)*2</f>
        <v>13.280000000000001</v>
      </c>
      <c r="G68" s="532"/>
      <c r="H68" s="845"/>
      <c r="I68" s="846"/>
      <c r="J68" s="505"/>
      <c r="K68" s="505"/>
      <c r="L68" s="505"/>
      <c r="M68" s="505"/>
      <c r="N68" s="505"/>
      <c r="O68" s="505"/>
      <c r="P68" s="505"/>
      <c r="Q68" s="505"/>
      <c r="R68" s="505"/>
      <c r="S68" s="505"/>
      <c r="T68" s="505"/>
      <c r="U68" s="505"/>
      <c r="V68" s="505"/>
      <c r="W68" s="505"/>
      <c r="X68" s="505"/>
      <c r="Y68" s="505"/>
      <c r="Z68" s="505"/>
      <c r="AA68" s="505"/>
      <c r="AB68" s="505"/>
      <c r="AC68" s="505"/>
      <c r="AD68" s="505"/>
      <c r="AE68" s="505"/>
      <c r="AF68" s="505"/>
      <c r="AG68" s="505"/>
      <c r="AH68" s="505"/>
      <c r="AI68" s="505"/>
      <c r="AJ68" s="505"/>
      <c r="AK68" s="505"/>
      <c r="AL68" s="505"/>
      <c r="AM68" s="505"/>
      <c r="AN68" s="505"/>
      <c r="AO68" s="505"/>
      <c r="AP68" s="505"/>
      <c r="AQ68" s="505"/>
      <c r="AR68" s="505"/>
      <c r="AS68" s="505"/>
      <c r="AT68" s="505"/>
      <c r="AU68" s="505"/>
      <c r="AV68" s="506"/>
      <c r="AW68" s="506"/>
      <c r="AX68" s="506"/>
    </row>
    <row r="69" spans="1:50" s="541" customFormat="1" ht="27" customHeight="1">
      <c r="A69" s="564" t="s">
        <v>275</v>
      </c>
      <c r="B69" s="536" t="s">
        <v>126</v>
      </c>
      <c r="C69" s="537">
        <v>181111121</v>
      </c>
      <c r="D69" s="537" t="s">
        <v>127</v>
      </c>
      <c r="E69" s="537" t="s">
        <v>98</v>
      </c>
      <c r="F69" s="565">
        <f>SUM(F70:F71)</f>
        <v>16.5</v>
      </c>
      <c r="G69" s="90"/>
      <c r="H69" s="539">
        <f>F69*G69</f>
        <v>0</v>
      </c>
      <c r="I69" s="819" t="s">
        <v>738</v>
      </c>
      <c r="J69" s="505"/>
      <c r="K69" s="505"/>
      <c r="L69" s="505"/>
      <c r="M69" s="505"/>
      <c r="N69" s="505"/>
      <c r="O69" s="505"/>
      <c r="P69" s="505"/>
      <c r="Q69" s="505"/>
      <c r="R69" s="505"/>
      <c r="S69" s="505"/>
      <c r="T69" s="505"/>
      <c r="U69" s="505"/>
      <c r="V69" s="505"/>
      <c r="W69" s="505"/>
      <c r="X69" s="505"/>
      <c r="Y69" s="505"/>
      <c r="Z69" s="505"/>
      <c r="AA69" s="505"/>
      <c r="AB69" s="505"/>
      <c r="AC69" s="505"/>
      <c r="AD69" s="505"/>
      <c r="AE69" s="505"/>
      <c r="AF69" s="505"/>
      <c r="AG69" s="505"/>
      <c r="AH69" s="505"/>
      <c r="AI69" s="505"/>
      <c r="AJ69" s="505"/>
      <c r="AK69" s="505"/>
      <c r="AL69" s="505"/>
      <c r="AM69" s="505"/>
      <c r="AN69" s="505"/>
      <c r="AO69" s="505"/>
      <c r="AP69" s="505"/>
      <c r="AQ69" s="505"/>
      <c r="AR69" s="505"/>
      <c r="AS69" s="505"/>
      <c r="AT69" s="505"/>
      <c r="AU69" s="505"/>
      <c r="AV69" s="506"/>
      <c r="AW69" s="506"/>
      <c r="AX69" s="506"/>
    </row>
    <row r="70" spans="1:50" s="541" customFormat="1" ht="13.5" customHeight="1">
      <c r="A70" s="564"/>
      <c r="B70" s="536"/>
      <c r="C70" s="537"/>
      <c r="D70" s="542" t="s">
        <v>645</v>
      </c>
      <c r="E70" s="537"/>
      <c r="F70" s="543">
        <f>(6.8)+(1.5)</f>
        <v>8.3000000000000007</v>
      </c>
      <c r="G70" s="539"/>
      <c r="H70" s="539"/>
      <c r="I70" s="545"/>
      <c r="J70" s="509"/>
      <c r="K70" s="847"/>
      <c r="L70" s="509"/>
      <c r="M70" s="509"/>
      <c r="N70" s="509"/>
      <c r="O70" s="509"/>
      <c r="P70" s="509"/>
      <c r="Q70" s="509"/>
      <c r="R70" s="509"/>
      <c r="S70" s="509"/>
      <c r="T70" s="509"/>
      <c r="U70" s="509"/>
      <c r="V70" s="509"/>
      <c r="W70" s="509"/>
      <c r="X70" s="509"/>
      <c r="Y70" s="509"/>
      <c r="Z70" s="509"/>
      <c r="AA70" s="509"/>
      <c r="AB70" s="509"/>
      <c r="AC70" s="509"/>
      <c r="AD70" s="509"/>
      <c r="AE70" s="509"/>
      <c r="AF70" s="509"/>
      <c r="AG70" s="509"/>
      <c r="AH70" s="509"/>
      <c r="AI70" s="509"/>
      <c r="AJ70" s="509"/>
      <c r="AK70" s="509"/>
      <c r="AL70" s="509"/>
      <c r="AM70" s="509"/>
      <c r="AN70" s="509"/>
      <c r="AO70" s="509"/>
      <c r="AP70" s="509"/>
      <c r="AQ70" s="509"/>
      <c r="AR70" s="509"/>
      <c r="AS70" s="509"/>
      <c r="AT70" s="509"/>
      <c r="AU70" s="509"/>
      <c r="AV70" s="508"/>
      <c r="AW70" s="508"/>
      <c r="AX70" s="508"/>
    </row>
    <row r="71" spans="1:50" s="541" customFormat="1" ht="13.5" customHeight="1">
      <c r="A71" s="564"/>
      <c r="B71" s="536"/>
      <c r="C71" s="537"/>
      <c r="D71" s="542" t="s">
        <v>476</v>
      </c>
      <c r="E71" s="537"/>
      <c r="F71" s="543">
        <f>(9.7-1.5)*1</f>
        <v>8.1999999999999993</v>
      </c>
      <c r="G71" s="539"/>
      <c r="H71" s="539"/>
      <c r="I71" s="545"/>
      <c r="J71" s="567"/>
      <c r="K71" s="567"/>
      <c r="L71" s="452"/>
      <c r="M71" s="567"/>
      <c r="N71" s="567"/>
      <c r="O71" s="452"/>
      <c r="P71" s="452"/>
      <c r="Q71" s="452"/>
      <c r="R71" s="452"/>
      <c r="S71" s="452"/>
      <c r="T71" s="452"/>
      <c r="U71" s="452"/>
      <c r="V71" s="452"/>
      <c r="W71" s="452"/>
      <c r="X71" s="452"/>
      <c r="Y71" s="452"/>
      <c r="Z71" s="452"/>
      <c r="AA71" s="452"/>
      <c r="AB71" s="452"/>
      <c r="AC71" s="452"/>
      <c r="AD71" s="452"/>
      <c r="AE71" s="452"/>
      <c r="AF71" s="452"/>
      <c r="AG71" s="452"/>
      <c r="AH71" s="452"/>
      <c r="AI71" s="452"/>
      <c r="AJ71" s="452"/>
      <c r="AK71" s="452"/>
      <c r="AL71" s="452"/>
      <c r="AM71" s="452"/>
      <c r="AN71" s="452"/>
      <c r="AO71" s="452"/>
      <c r="AP71" s="452"/>
      <c r="AQ71" s="452"/>
      <c r="AR71" s="452"/>
      <c r="AS71" s="452"/>
      <c r="AT71" s="452"/>
      <c r="AU71" s="452"/>
    </row>
    <row r="72" spans="1:50" s="541" customFormat="1" ht="13.5" customHeight="1">
      <c r="A72" s="564" t="s">
        <v>276</v>
      </c>
      <c r="B72" s="536" t="s">
        <v>96</v>
      </c>
      <c r="C72" s="537">
        <v>181311103</v>
      </c>
      <c r="D72" s="537" t="s">
        <v>223</v>
      </c>
      <c r="E72" s="537" t="s">
        <v>98</v>
      </c>
      <c r="F72" s="565">
        <f>SUM(F73)</f>
        <v>8.1999999999999993</v>
      </c>
      <c r="G72" s="90"/>
      <c r="H72" s="539">
        <f>F72*G72</f>
        <v>0</v>
      </c>
      <c r="I72" s="819" t="s">
        <v>738</v>
      </c>
      <c r="J72" s="509"/>
      <c r="K72" s="847"/>
      <c r="L72" s="509"/>
      <c r="M72" s="509"/>
      <c r="N72" s="509"/>
      <c r="O72" s="509"/>
      <c r="P72" s="509"/>
      <c r="Q72" s="509"/>
      <c r="R72" s="509"/>
      <c r="S72" s="509"/>
      <c r="T72" s="509"/>
      <c r="U72" s="509"/>
      <c r="V72" s="509"/>
      <c r="W72" s="509"/>
      <c r="X72" s="509"/>
      <c r="Y72" s="509"/>
      <c r="Z72" s="509"/>
      <c r="AA72" s="509"/>
      <c r="AB72" s="509"/>
      <c r="AC72" s="509"/>
      <c r="AD72" s="509"/>
      <c r="AE72" s="509"/>
      <c r="AF72" s="509"/>
      <c r="AG72" s="509"/>
      <c r="AH72" s="509"/>
      <c r="AI72" s="509"/>
      <c r="AJ72" s="509"/>
      <c r="AK72" s="509"/>
      <c r="AL72" s="509"/>
      <c r="AM72" s="509"/>
      <c r="AN72" s="509"/>
      <c r="AO72" s="509"/>
      <c r="AP72" s="509"/>
      <c r="AQ72" s="509"/>
      <c r="AR72" s="509"/>
      <c r="AS72" s="509"/>
      <c r="AT72" s="509"/>
      <c r="AU72" s="509"/>
      <c r="AV72" s="508"/>
      <c r="AW72" s="508"/>
      <c r="AX72" s="508"/>
    </row>
    <row r="73" spans="1:50" s="541" customFormat="1" ht="13.5" customHeight="1">
      <c r="A73" s="564"/>
      <c r="B73" s="536"/>
      <c r="C73" s="537"/>
      <c r="D73" s="542" t="s">
        <v>477</v>
      </c>
      <c r="E73" s="537"/>
      <c r="F73" s="543">
        <f>8.2</f>
        <v>8.1999999999999993</v>
      </c>
      <c r="G73" s="539"/>
      <c r="H73" s="539"/>
      <c r="I73" s="545"/>
      <c r="J73" s="452"/>
      <c r="K73" s="452"/>
      <c r="L73" s="452"/>
      <c r="M73" s="452"/>
      <c r="N73" s="452"/>
      <c r="O73" s="452"/>
      <c r="P73" s="452"/>
      <c r="Q73" s="452"/>
      <c r="R73" s="452"/>
      <c r="S73" s="452"/>
      <c r="T73" s="452"/>
      <c r="U73" s="505"/>
      <c r="V73" s="505"/>
      <c r="W73" s="505"/>
      <c r="X73" s="505"/>
      <c r="Y73" s="505"/>
      <c r="Z73" s="505"/>
      <c r="AA73" s="505"/>
      <c r="AB73" s="505"/>
      <c r="AC73" s="505"/>
      <c r="AD73" s="505"/>
      <c r="AE73" s="505"/>
      <c r="AF73" s="505"/>
      <c r="AG73" s="505"/>
      <c r="AH73" s="505"/>
      <c r="AI73" s="505"/>
      <c r="AJ73" s="505"/>
      <c r="AK73" s="505"/>
      <c r="AL73" s="505"/>
      <c r="AM73" s="505"/>
      <c r="AN73" s="505"/>
      <c r="AO73" s="505"/>
      <c r="AP73" s="505"/>
      <c r="AQ73" s="505"/>
      <c r="AR73" s="505"/>
      <c r="AS73" s="505"/>
      <c r="AT73" s="505"/>
      <c r="AU73" s="505"/>
      <c r="AV73" s="506"/>
      <c r="AW73" s="506"/>
      <c r="AX73" s="506"/>
    </row>
    <row r="74" spans="1:50" s="541" customFormat="1" ht="13.5" customHeight="1">
      <c r="A74" s="564" t="s">
        <v>257</v>
      </c>
      <c r="B74" s="537">
        <v>231</v>
      </c>
      <c r="C74" s="537">
        <v>183403153</v>
      </c>
      <c r="D74" s="537" t="s">
        <v>212</v>
      </c>
      <c r="E74" s="537" t="s">
        <v>98</v>
      </c>
      <c r="F74" s="565">
        <f>SUM(F75:F75)</f>
        <v>8.1999999999999993</v>
      </c>
      <c r="G74" s="90"/>
      <c r="H74" s="539">
        <f>F74*G74</f>
        <v>0</v>
      </c>
      <c r="I74" s="819" t="s">
        <v>738</v>
      </c>
      <c r="J74" s="1007"/>
      <c r="K74" s="452"/>
      <c r="L74" s="452"/>
      <c r="M74" s="452"/>
      <c r="N74" s="452"/>
      <c r="O74" s="452"/>
      <c r="P74" s="452"/>
      <c r="Q74" s="452"/>
      <c r="R74" s="452"/>
      <c r="S74" s="452"/>
      <c r="T74" s="452"/>
      <c r="U74" s="505"/>
      <c r="V74" s="505"/>
      <c r="W74" s="505"/>
      <c r="X74" s="505"/>
      <c r="Y74" s="505"/>
      <c r="Z74" s="505"/>
      <c r="AA74" s="505"/>
      <c r="AB74" s="505"/>
      <c r="AC74" s="505"/>
      <c r="AD74" s="505"/>
      <c r="AE74" s="505"/>
      <c r="AF74" s="505"/>
      <c r="AG74" s="505"/>
      <c r="AH74" s="505"/>
      <c r="AI74" s="505"/>
      <c r="AJ74" s="505"/>
      <c r="AK74" s="505"/>
      <c r="AL74" s="505"/>
      <c r="AM74" s="505"/>
      <c r="AN74" s="505"/>
      <c r="AO74" s="505"/>
      <c r="AP74" s="505"/>
      <c r="AQ74" s="505"/>
      <c r="AR74" s="505"/>
      <c r="AS74" s="505"/>
      <c r="AT74" s="505"/>
      <c r="AU74" s="505"/>
      <c r="AV74" s="506"/>
      <c r="AW74" s="506"/>
      <c r="AX74" s="506"/>
    </row>
    <row r="75" spans="1:50" s="541" customFormat="1" ht="13.5" customHeight="1">
      <c r="A75" s="564"/>
      <c r="B75" s="576"/>
      <c r="C75" s="576"/>
      <c r="D75" s="542" t="s">
        <v>478</v>
      </c>
      <c r="E75" s="576"/>
      <c r="F75" s="543">
        <f>(8.2)*1</f>
        <v>8.1999999999999993</v>
      </c>
      <c r="G75" s="577"/>
      <c r="H75" s="539"/>
      <c r="I75" s="545"/>
      <c r="J75" s="505"/>
      <c r="K75" s="505"/>
      <c r="L75" s="505"/>
      <c r="M75" s="505"/>
      <c r="N75" s="505"/>
      <c r="O75" s="505"/>
      <c r="P75" s="505"/>
      <c r="Q75" s="505"/>
      <c r="R75" s="505"/>
      <c r="S75" s="505"/>
      <c r="T75" s="505"/>
      <c r="U75" s="505"/>
      <c r="V75" s="505"/>
      <c r="W75" s="505"/>
      <c r="X75" s="505"/>
      <c r="Y75" s="505"/>
      <c r="Z75" s="505"/>
      <c r="AA75" s="505"/>
      <c r="AB75" s="505"/>
      <c r="AC75" s="505"/>
      <c r="AD75" s="505"/>
      <c r="AE75" s="505"/>
      <c r="AF75" s="505"/>
      <c r="AG75" s="505"/>
      <c r="AH75" s="505"/>
      <c r="AI75" s="505"/>
      <c r="AJ75" s="505"/>
      <c r="AK75" s="505"/>
      <c r="AL75" s="505"/>
      <c r="AM75" s="505"/>
      <c r="AN75" s="505"/>
      <c r="AO75" s="505"/>
      <c r="AP75" s="505"/>
      <c r="AQ75" s="505"/>
      <c r="AR75" s="505"/>
      <c r="AS75" s="505"/>
      <c r="AT75" s="505"/>
      <c r="AU75" s="505"/>
      <c r="AV75" s="506"/>
      <c r="AW75" s="506"/>
      <c r="AX75" s="506"/>
    </row>
    <row r="76" spans="1:50" s="541" customFormat="1" ht="13.5" customHeight="1">
      <c r="A76" s="564" t="s">
        <v>121</v>
      </c>
      <c r="B76" s="537">
        <v>231</v>
      </c>
      <c r="C76" s="537">
        <v>183403161</v>
      </c>
      <c r="D76" s="537" t="s">
        <v>213</v>
      </c>
      <c r="E76" s="537" t="s">
        <v>98</v>
      </c>
      <c r="F76" s="565">
        <f>SUM(F77:F77)</f>
        <v>8.1999999999999993</v>
      </c>
      <c r="G76" s="90"/>
      <c r="H76" s="539">
        <f>F76*G76</f>
        <v>0</v>
      </c>
      <c r="I76" s="819" t="s">
        <v>738</v>
      </c>
      <c r="J76" s="1008"/>
      <c r="K76" s="1009"/>
      <c r="L76" s="1010"/>
      <c r="M76" s="1011"/>
      <c r="N76" s="1011"/>
      <c r="O76" s="1012"/>
      <c r="P76" s="1011"/>
      <c r="Q76" s="1013"/>
      <c r="R76" s="1014"/>
      <c r="S76" s="1015"/>
      <c r="T76" s="509"/>
      <c r="U76" s="509"/>
      <c r="V76" s="509"/>
      <c r="W76" s="509"/>
      <c r="X76" s="509"/>
      <c r="Y76" s="509"/>
      <c r="Z76" s="509"/>
      <c r="AA76" s="509"/>
      <c r="AB76" s="509"/>
      <c r="AC76" s="509"/>
      <c r="AD76" s="509"/>
      <c r="AE76" s="509"/>
      <c r="AF76" s="509"/>
      <c r="AG76" s="509"/>
      <c r="AH76" s="509"/>
      <c r="AI76" s="509"/>
      <c r="AJ76" s="509"/>
      <c r="AK76" s="509"/>
      <c r="AL76" s="509"/>
      <c r="AM76" s="509"/>
      <c r="AN76" s="509"/>
      <c r="AO76" s="509"/>
      <c r="AP76" s="509"/>
      <c r="AQ76" s="509"/>
      <c r="AR76" s="509"/>
      <c r="AS76" s="509"/>
      <c r="AT76" s="509"/>
      <c r="AU76" s="509"/>
      <c r="AV76" s="508"/>
      <c r="AW76" s="508"/>
      <c r="AX76" s="508"/>
    </row>
    <row r="77" spans="1:50" s="541" customFormat="1" ht="13.5" customHeight="1">
      <c r="A77" s="564"/>
      <c r="B77" s="537"/>
      <c r="C77" s="537"/>
      <c r="D77" s="542" t="s">
        <v>479</v>
      </c>
      <c r="E77" s="576"/>
      <c r="F77" s="543">
        <f>(8.2)*1</f>
        <v>8.1999999999999993</v>
      </c>
      <c r="G77" s="539"/>
      <c r="H77" s="539"/>
      <c r="I77" s="539"/>
      <c r="J77" s="1016"/>
      <c r="K77" s="1009"/>
      <c r="L77" s="1010"/>
      <c r="M77" s="1011"/>
      <c r="N77" s="1011"/>
      <c r="O77" s="1012"/>
      <c r="P77" s="1011"/>
      <c r="Q77" s="1013"/>
      <c r="R77" s="1014"/>
      <c r="S77" s="1015"/>
      <c r="T77" s="509"/>
      <c r="U77" s="509"/>
      <c r="V77" s="509"/>
      <c r="W77" s="509"/>
      <c r="X77" s="509"/>
      <c r="Y77" s="509"/>
      <c r="Z77" s="509"/>
      <c r="AA77" s="509"/>
      <c r="AB77" s="509"/>
      <c r="AC77" s="509"/>
      <c r="AD77" s="509"/>
      <c r="AE77" s="509"/>
      <c r="AF77" s="509"/>
      <c r="AG77" s="509"/>
      <c r="AH77" s="509"/>
      <c r="AI77" s="509"/>
      <c r="AJ77" s="509"/>
      <c r="AK77" s="509"/>
      <c r="AL77" s="509"/>
      <c r="AM77" s="509"/>
      <c r="AN77" s="509"/>
      <c r="AO77" s="509"/>
      <c r="AP77" s="509"/>
      <c r="AQ77" s="509"/>
      <c r="AR77" s="509"/>
      <c r="AS77" s="509"/>
      <c r="AT77" s="509"/>
      <c r="AU77" s="509"/>
      <c r="AV77" s="508"/>
      <c r="AW77" s="508"/>
      <c r="AX77" s="508"/>
    </row>
    <row r="78" spans="1:50" s="541" customFormat="1" ht="27" customHeight="1">
      <c r="A78" s="535">
        <v>25</v>
      </c>
      <c r="B78" s="536" t="s">
        <v>126</v>
      </c>
      <c r="C78" s="537">
        <v>183451351</v>
      </c>
      <c r="D78" s="579" t="s">
        <v>226</v>
      </c>
      <c r="E78" s="537" t="s">
        <v>98</v>
      </c>
      <c r="F78" s="565">
        <f>SUM(F79)</f>
        <v>8.1999999999999993</v>
      </c>
      <c r="G78" s="90"/>
      <c r="H78" s="539">
        <f>F78*G78</f>
        <v>0</v>
      </c>
      <c r="I78" s="819" t="s">
        <v>738</v>
      </c>
      <c r="J78" s="587"/>
      <c r="K78" s="452"/>
      <c r="L78" s="452"/>
      <c r="M78" s="452"/>
      <c r="N78" s="452"/>
      <c r="O78" s="452"/>
      <c r="P78" s="452"/>
      <c r="Q78" s="452"/>
      <c r="R78" s="452"/>
      <c r="S78" s="452"/>
      <c r="T78" s="452"/>
      <c r="U78" s="452"/>
      <c r="V78" s="452"/>
      <c r="W78" s="452"/>
      <c r="X78" s="452"/>
      <c r="Y78" s="452"/>
      <c r="Z78" s="452"/>
      <c r="AA78" s="452"/>
      <c r="AB78" s="452"/>
      <c r="AC78" s="452"/>
      <c r="AD78" s="452"/>
      <c r="AE78" s="452"/>
      <c r="AF78" s="452"/>
      <c r="AG78" s="452"/>
      <c r="AH78" s="452"/>
      <c r="AI78" s="452"/>
      <c r="AJ78" s="452"/>
      <c r="AK78" s="452"/>
      <c r="AL78" s="452"/>
      <c r="AM78" s="452"/>
      <c r="AN78" s="452"/>
      <c r="AO78" s="452"/>
      <c r="AP78" s="452"/>
      <c r="AQ78" s="452"/>
      <c r="AR78" s="452"/>
      <c r="AS78" s="452"/>
      <c r="AT78" s="452"/>
      <c r="AU78" s="452"/>
    </row>
    <row r="79" spans="1:50" s="541" customFormat="1" ht="27" customHeight="1">
      <c r="A79" s="588"/>
      <c r="B79" s="589"/>
      <c r="C79" s="589"/>
      <c r="D79" s="542" t="s">
        <v>480</v>
      </c>
      <c r="E79" s="537"/>
      <c r="F79" s="543">
        <f>(9.7-1.5)*1</f>
        <v>8.1999999999999993</v>
      </c>
      <c r="G79" s="590"/>
      <c r="H79" s="590"/>
      <c r="I79" s="591"/>
      <c r="J79" s="567"/>
      <c r="K79" s="567"/>
      <c r="L79" s="452"/>
      <c r="M79" s="567"/>
      <c r="N79" s="567"/>
      <c r="O79" s="452"/>
      <c r="P79" s="452"/>
      <c r="Q79" s="452"/>
      <c r="R79" s="452"/>
      <c r="S79" s="452"/>
      <c r="T79" s="452"/>
      <c r="U79" s="452"/>
      <c r="V79" s="452"/>
      <c r="W79" s="452"/>
      <c r="X79" s="452"/>
      <c r="Y79" s="452"/>
      <c r="Z79" s="452"/>
      <c r="AA79" s="452"/>
      <c r="AB79" s="452"/>
      <c r="AC79" s="452"/>
      <c r="AD79" s="452"/>
      <c r="AE79" s="452"/>
      <c r="AF79" s="452"/>
      <c r="AG79" s="452"/>
      <c r="AH79" s="452"/>
      <c r="AI79" s="452"/>
      <c r="AJ79" s="452"/>
      <c r="AK79" s="452"/>
      <c r="AL79" s="452"/>
      <c r="AM79" s="452"/>
      <c r="AN79" s="452"/>
      <c r="AO79" s="452"/>
      <c r="AP79" s="452"/>
      <c r="AQ79" s="452"/>
      <c r="AR79" s="452"/>
      <c r="AS79" s="452"/>
      <c r="AT79" s="452"/>
      <c r="AU79" s="452"/>
    </row>
    <row r="80" spans="1:50" s="541" customFormat="1" ht="13.5" customHeight="1">
      <c r="A80" s="535">
        <v>26</v>
      </c>
      <c r="B80" s="536" t="s">
        <v>126</v>
      </c>
      <c r="C80" s="537">
        <v>183451431</v>
      </c>
      <c r="D80" s="579" t="s">
        <v>227</v>
      </c>
      <c r="E80" s="537" t="s">
        <v>98</v>
      </c>
      <c r="F80" s="565">
        <f>SUM(F81)</f>
        <v>8.1999999999999993</v>
      </c>
      <c r="G80" s="90"/>
      <c r="H80" s="539">
        <f>F80*G80</f>
        <v>0</v>
      </c>
      <c r="I80" s="819" t="s">
        <v>738</v>
      </c>
      <c r="J80" s="567"/>
      <c r="K80" s="567"/>
      <c r="L80" s="452"/>
      <c r="M80" s="567"/>
      <c r="N80" s="567"/>
      <c r="O80" s="452"/>
      <c r="P80" s="452"/>
      <c r="Q80" s="452"/>
      <c r="R80" s="452"/>
      <c r="S80" s="452"/>
      <c r="T80" s="452"/>
      <c r="U80" s="452"/>
      <c r="V80" s="452"/>
      <c r="W80" s="452"/>
      <c r="X80" s="452"/>
      <c r="Y80" s="452"/>
      <c r="Z80" s="452"/>
      <c r="AA80" s="452"/>
      <c r="AB80" s="452"/>
      <c r="AC80" s="452"/>
      <c r="AD80" s="452"/>
      <c r="AE80" s="452"/>
      <c r="AF80" s="452"/>
      <c r="AG80" s="452"/>
      <c r="AH80" s="452"/>
      <c r="AI80" s="452"/>
      <c r="AJ80" s="452"/>
      <c r="AK80" s="452"/>
      <c r="AL80" s="452"/>
      <c r="AM80" s="452"/>
      <c r="AN80" s="452"/>
      <c r="AO80" s="452"/>
      <c r="AP80" s="452"/>
      <c r="AQ80" s="452"/>
      <c r="AR80" s="452"/>
      <c r="AS80" s="452"/>
      <c r="AT80" s="452"/>
      <c r="AU80" s="452"/>
    </row>
    <row r="81" spans="1:50" s="541" customFormat="1" ht="27" customHeight="1">
      <c r="A81" s="588"/>
      <c r="B81" s="589"/>
      <c r="C81" s="589"/>
      <c r="D81" s="542" t="s">
        <v>481</v>
      </c>
      <c r="E81" s="537"/>
      <c r="F81" s="543">
        <f>(9.7-1.5)*1</f>
        <v>8.1999999999999993</v>
      </c>
      <c r="G81" s="590"/>
      <c r="H81" s="590"/>
      <c r="I81" s="591"/>
      <c r="J81" s="546"/>
      <c r="K81" s="452"/>
      <c r="L81" s="452"/>
      <c r="M81" s="452"/>
      <c r="N81" s="452"/>
      <c r="O81" s="452"/>
      <c r="P81" s="452"/>
      <c r="Q81" s="452"/>
      <c r="R81" s="452"/>
      <c r="S81" s="452"/>
      <c r="T81" s="452"/>
      <c r="U81" s="452"/>
      <c r="V81" s="452"/>
      <c r="W81" s="452"/>
      <c r="X81" s="452"/>
      <c r="Y81" s="452"/>
      <c r="Z81" s="452"/>
      <c r="AA81" s="452"/>
      <c r="AB81" s="452"/>
      <c r="AC81" s="452"/>
      <c r="AD81" s="452"/>
      <c r="AE81" s="452"/>
      <c r="AF81" s="452"/>
      <c r="AG81" s="452"/>
      <c r="AH81" s="452"/>
      <c r="AI81" s="452"/>
      <c r="AJ81" s="452"/>
      <c r="AK81" s="452"/>
      <c r="AL81" s="452"/>
      <c r="AM81" s="452"/>
      <c r="AN81" s="452"/>
      <c r="AO81" s="452"/>
      <c r="AP81" s="452"/>
      <c r="AQ81" s="452"/>
      <c r="AR81" s="452"/>
      <c r="AS81" s="452"/>
      <c r="AT81" s="452"/>
      <c r="AU81" s="452"/>
    </row>
    <row r="82" spans="1:50" s="541" customFormat="1" ht="13.5" customHeight="1">
      <c r="A82" s="588">
        <v>27</v>
      </c>
      <c r="B82" s="589" t="s">
        <v>224</v>
      </c>
      <c r="C82" s="589" t="s">
        <v>228</v>
      </c>
      <c r="D82" s="592" t="s">
        <v>225</v>
      </c>
      <c r="E82" s="593" t="s">
        <v>220</v>
      </c>
      <c r="F82" s="594">
        <f>SUM(F83:F84)</f>
        <v>8.199999999999999E-2</v>
      </c>
      <c r="G82" s="91"/>
      <c r="H82" s="590">
        <f>F82*G82</f>
        <v>0</v>
      </c>
      <c r="I82" s="591" t="s">
        <v>738</v>
      </c>
      <c r="J82" s="546"/>
      <c r="K82" s="567"/>
      <c r="L82" s="452"/>
      <c r="M82" s="452"/>
      <c r="N82" s="452"/>
      <c r="O82" s="452"/>
      <c r="P82" s="452"/>
      <c r="Q82" s="452"/>
      <c r="R82" s="452"/>
      <c r="S82" s="452"/>
      <c r="T82" s="452"/>
      <c r="U82" s="452"/>
      <c r="V82" s="452"/>
      <c r="W82" s="452"/>
      <c r="X82" s="452"/>
      <c r="Y82" s="452"/>
      <c r="Z82" s="452"/>
      <c r="AA82" s="452"/>
      <c r="AB82" s="452"/>
      <c r="AC82" s="452"/>
      <c r="AD82" s="452"/>
      <c r="AE82" s="452"/>
      <c r="AF82" s="452"/>
      <c r="AG82" s="452"/>
      <c r="AH82" s="452"/>
      <c r="AI82" s="452"/>
      <c r="AJ82" s="452"/>
      <c r="AK82" s="452"/>
      <c r="AL82" s="452"/>
      <c r="AM82" s="452"/>
      <c r="AN82" s="452"/>
      <c r="AO82" s="452"/>
      <c r="AP82" s="452"/>
      <c r="AQ82" s="452"/>
      <c r="AR82" s="452"/>
      <c r="AS82" s="452"/>
      <c r="AT82" s="452"/>
      <c r="AU82" s="452"/>
    </row>
    <row r="83" spans="1:50" s="541" customFormat="1" ht="27" customHeight="1">
      <c r="A83" s="595"/>
      <c r="B83" s="596"/>
      <c r="C83" s="596"/>
      <c r="D83" s="597" t="s">
        <v>482</v>
      </c>
      <c r="E83" s="593"/>
      <c r="F83" s="598">
        <f>(8.2)*0.005</f>
        <v>4.0999999999999995E-2</v>
      </c>
      <c r="G83" s="599"/>
      <c r="H83" s="599"/>
      <c r="I83" s="600"/>
      <c r="J83" s="568"/>
      <c r="K83" s="569"/>
      <c r="L83" s="569"/>
      <c r="M83" s="569"/>
      <c r="N83" s="569"/>
      <c r="O83" s="570"/>
      <c r="P83" s="571"/>
      <c r="Q83" s="572"/>
      <c r="R83" s="573"/>
      <c r="S83" s="573"/>
      <c r="T83" s="574"/>
      <c r="U83" s="452"/>
      <c r="V83" s="575"/>
      <c r="W83" s="452"/>
      <c r="X83" s="452"/>
      <c r="Y83" s="452"/>
      <c r="Z83" s="452"/>
      <c r="AA83" s="452"/>
      <c r="AB83" s="452"/>
      <c r="AC83" s="452"/>
      <c r="AD83" s="452"/>
      <c r="AE83" s="452"/>
      <c r="AF83" s="452"/>
      <c r="AG83" s="452"/>
      <c r="AH83" s="452"/>
      <c r="AI83" s="452"/>
      <c r="AJ83" s="452"/>
      <c r="AK83" s="452"/>
      <c r="AL83" s="452"/>
      <c r="AM83" s="452"/>
      <c r="AN83" s="452"/>
      <c r="AO83" s="452"/>
      <c r="AP83" s="452"/>
      <c r="AQ83" s="452"/>
      <c r="AR83" s="452"/>
      <c r="AS83" s="452"/>
      <c r="AT83" s="452"/>
      <c r="AU83" s="452"/>
    </row>
    <row r="84" spans="1:50" s="541" customFormat="1" ht="27" customHeight="1">
      <c r="A84" s="595"/>
      <c r="B84" s="596"/>
      <c r="C84" s="596"/>
      <c r="D84" s="597" t="s">
        <v>483</v>
      </c>
      <c r="E84" s="593"/>
      <c r="F84" s="598">
        <f>(8.2)*0.005</f>
        <v>4.0999999999999995E-2</v>
      </c>
      <c r="G84" s="599"/>
      <c r="H84" s="599"/>
      <c r="I84" s="600"/>
      <c r="J84" s="567"/>
      <c r="K84" s="567"/>
      <c r="L84" s="578"/>
      <c r="M84" s="569"/>
      <c r="N84" s="569"/>
      <c r="O84" s="570"/>
      <c r="P84" s="571"/>
      <c r="Q84" s="572"/>
      <c r="R84" s="573"/>
      <c r="S84" s="573"/>
      <c r="T84" s="574"/>
      <c r="U84" s="452"/>
      <c r="V84" s="575"/>
      <c r="W84" s="452"/>
      <c r="X84" s="452"/>
      <c r="Y84" s="452"/>
      <c r="Z84" s="452"/>
      <c r="AA84" s="452"/>
      <c r="AB84" s="452"/>
      <c r="AC84" s="452"/>
      <c r="AD84" s="452"/>
      <c r="AE84" s="452"/>
      <c r="AF84" s="452"/>
      <c r="AG84" s="452"/>
      <c r="AH84" s="452"/>
      <c r="AI84" s="452"/>
      <c r="AJ84" s="452"/>
      <c r="AK84" s="452"/>
      <c r="AL84" s="452"/>
      <c r="AM84" s="452"/>
      <c r="AN84" s="452"/>
      <c r="AO84" s="452"/>
      <c r="AP84" s="452"/>
      <c r="AQ84" s="452"/>
      <c r="AR84" s="452"/>
      <c r="AS84" s="452"/>
      <c r="AT84" s="452"/>
      <c r="AU84" s="452"/>
    </row>
    <row r="85" spans="1:50" s="541" customFormat="1" ht="27" customHeight="1">
      <c r="A85" s="535">
        <v>28</v>
      </c>
      <c r="B85" s="536" t="s">
        <v>126</v>
      </c>
      <c r="C85" s="537">
        <v>183451511</v>
      </c>
      <c r="D85" s="579" t="s">
        <v>214</v>
      </c>
      <c r="E85" s="537" t="s">
        <v>98</v>
      </c>
      <c r="F85" s="565">
        <f>SUM(F86)</f>
        <v>8.1999999999999993</v>
      </c>
      <c r="G85" s="90"/>
      <c r="H85" s="539">
        <f>F85*G85</f>
        <v>0</v>
      </c>
      <c r="I85" s="819" t="s">
        <v>738</v>
      </c>
      <c r="J85" s="568"/>
      <c r="K85" s="569"/>
      <c r="L85" s="569"/>
      <c r="M85" s="569"/>
      <c r="N85" s="569"/>
      <c r="O85" s="570"/>
      <c r="P85" s="571"/>
      <c r="Q85" s="572"/>
      <c r="R85" s="573"/>
      <c r="S85" s="573"/>
      <c r="T85" s="574"/>
      <c r="U85" s="452"/>
      <c r="V85" s="575"/>
      <c r="W85" s="452"/>
      <c r="X85" s="452"/>
      <c r="Y85" s="452"/>
      <c r="Z85" s="452"/>
      <c r="AA85" s="452"/>
      <c r="AB85" s="452"/>
      <c r="AC85" s="452"/>
      <c r="AD85" s="452"/>
      <c r="AE85" s="452"/>
      <c r="AF85" s="452"/>
      <c r="AG85" s="452"/>
      <c r="AH85" s="452"/>
      <c r="AI85" s="452"/>
      <c r="AJ85" s="452"/>
      <c r="AK85" s="452"/>
      <c r="AL85" s="452"/>
      <c r="AM85" s="452"/>
      <c r="AN85" s="452"/>
      <c r="AO85" s="452"/>
      <c r="AP85" s="452"/>
      <c r="AQ85" s="452"/>
      <c r="AR85" s="452"/>
      <c r="AS85" s="452"/>
      <c r="AT85" s="452"/>
      <c r="AU85" s="452"/>
    </row>
    <row r="86" spans="1:50" s="541" customFormat="1" ht="27" customHeight="1">
      <c r="A86" s="535"/>
      <c r="B86" s="536"/>
      <c r="C86" s="537"/>
      <c r="D86" s="542" t="s">
        <v>484</v>
      </c>
      <c r="E86" s="537"/>
      <c r="F86" s="543">
        <f>(9.7-1.5)*1</f>
        <v>8.1999999999999993</v>
      </c>
      <c r="G86" s="539"/>
      <c r="H86" s="539"/>
      <c r="I86" s="545"/>
      <c r="J86" s="567"/>
      <c r="K86" s="567"/>
      <c r="L86" s="569"/>
      <c r="M86" s="569"/>
      <c r="N86" s="569"/>
      <c r="O86" s="570"/>
      <c r="P86" s="571"/>
      <c r="Q86" s="572"/>
      <c r="R86" s="573"/>
      <c r="S86" s="573"/>
      <c r="T86" s="574"/>
      <c r="U86" s="452"/>
      <c r="V86" s="575"/>
      <c r="W86" s="452"/>
      <c r="X86" s="452"/>
      <c r="Y86" s="452"/>
      <c r="Z86" s="452"/>
      <c r="AA86" s="452"/>
      <c r="AB86" s="452"/>
      <c r="AC86" s="452"/>
      <c r="AD86" s="452"/>
      <c r="AE86" s="452"/>
      <c r="AF86" s="452"/>
      <c r="AG86" s="452"/>
      <c r="AH86" s="452"/>
      <c r="AI86" s="452"/>
      <c r="AJ86" s="452"/>
      <c r="AK86" s="452"/>
      <c r="AL86" s="452"/>
      <c r="AM86" s="452"/>
      <c r="AN86" s="452"/>
      <c r="AO86" s="452"/>
      <c r="AP86" s="452"/>
      <c r="AQ86" s="452"/>
      <c r="AR86" s="452"/>
      <c r="AS86" s="452"/>
      <c r="AT86" s="452"/>
      <c r="AU86" s="452"/>
    </row>
    <row r="87" spans="1:50" s="541" customFormat="1" ht="13.5" customHeight="1">
      <c r="A87" s="588">
        <v>29</v>
      </c>
      <c r="B87" s="589" t="s">
        <v>215</v>
      </c>
      <c r="C87" s="593" t="s">
        <v>216</v>
      </c>
      <c r="D87" s="592" t="s">
        <v>217</v>
      </c>
      <c r="E87" s="593" t="s">
        <v>125</v>
      </c>
      <c r="F87" s="594">
        <f>SUM(F88)</f>
        <v>8.0359999999999987E-2</v>
      </c>
      <c r="G87" s="91"/>
      <c r="H87" s="590">
        <f>F87*G87</f>
        <v>0</v>
      </c>
      <c r="I87" s="591" t="s">
        <v>739</v>
      </c>
      <c r="J87" s="580"/>
      <c r="K87" s="581"/>
      <c r="L87" s="582"/>
      <c r="M87" s="582"/>
      <c r="N87" s="583"/>
      <c r="O87" s="582"/>
      <c r="P87" s="584"/>
      <c r="Q87" s="585"/>
      <c r="R87" s="586"/>
      <c r="S87" s="452"/>
      <c r="T87" s="452"/>
      <c r="U87" s="452"/>
      <c r="V87" s="587"/>
      <c r="W87" s="452"/>
      <c r="X87" s="452"/>
      <c r="Y87" s="452"/>
      <c r="Z87" s="452"/>
      <c r="AA87" s="452"/>
      <c r="AB87" s="452"/>
      <c r="AC87" s="452"/>
      <c r="AD87" s="452"/>
      <c r="AE87" s="452"/>
      <c r="AF87" s="452"/>
      <c r="AG87" s="452"/>
      <c r="AH87" s="452"/>
      <c r="AI87" s="452"/>
      <c r="AJ87" s="452"/>
      <c r="AK87" s="452"/>
      <c r="AL87" s="452"/>
      <c r="AM87" s="452"/>
      <c r="AN87" s="452"/>
      <c r="AO87" s="452"/>
      <c r="AP87" s="452"/>
      <c r="AQ87" s="452"/>
      <c r="AR87" s="452"/>
      <c r="AS87" s="452"/>
      <c r="AT87" s="452"/>
      <c r="AU87" s="452"/>
    </row>
    <row r="88" spans="1:50" s="541" customFormat="1" ht="13.5" customHeight="1">
      <c r="A88" s="605"/>
      <c r="B88" s="606"/>
      <c r="C88" s="606"/>
      <c r="D88" s="597" t="s">
        <v>485</v>
      </c>
      <c r="E88" s="593"/>
      <c r="F88" s="598">
        <f>(8.2)*0.0098</f>
        <v>8.0359999999999987E-2</v>
      </c>
      <c r="G88" s="607"/>
      <c r="H88" s="607"/>
      <c r="I88" s="608"/>
      <c r="J88" s="580"/>
      <c r="K88" s="581"/>
      <c r="L88" s="582"/>
      <c r="M88" s="582"/>
      <c r="N88" s="583"/>
      <c r="O88" s="582"/>
      <c r="P88" s="584"/>
      <c r="Q88" s="585"/>
      <c r="R88" s="586"/>
      <c r="S88" s="452"/>
      <c r="T88" s="452"/>
      <c r="U88" s="452"/>
      <c r="V88" s="587"/>
      <c r="W88" s="452"/>
      <c r="X88" s="452"/>
      <c r="Y88" s="452"/>
      <c r="Z88" s="452"/>
      <c r="AA88" s="452"/>
      <c r="AB88" s="452"/>
      <c r="AC88" s="452"/>
      <c r="AD88" s="452"/>
      <c r="AE88" s="452"/>
      <c r="AF88" s="452"/>
      <c r="AG88" s="452"/>
      <c r="AH88" s="452"/>
      <c r="AI88" s="452"/>
      <c r="AJ88" s="452"/>
      <c r="AK88" s="452"/>
      <c r="AL88" s="452"/>
      <c r="AM88" s="452"/>
      <c r="AN88" s="452"/>
      <c r="AO88" s="452"/>
      <c r="AP88" s="452"/>
      <c r="AQ88" s="452"/>
      <c r="AR88" s="452"/>
      <c r="AS88" s="452"/>
      <c r="AT88" s="452"/>
      <c r="AU88" s="452"/>
    </row>
    <row r="89" spans="1:50" s="615" customFormat="1" ht="13.5" customHeight="1">
      <c r="A89" s="92">
        <v>30</v>
      </c>
      <c r="B89" s="93" t="s">
        <v>126</v>
      </c>
      <c r="C89" s="94" t="s">
        <v>231</v>
      </c>
      <c r="D89" s="95" t="s">
        <v>232</v>
      </c>
      <c r="E89" s="94" t="s">
        <v>98</v>
      </c>
      <c r="F89" s="96">
        <f>SUM(F90:F90)</f>
        <v>8.1999999999999993</v>
      </c>
      <c r="G89" s="731"/>
      <c r="H89" s="97">
        <f>F89*G89</f>
        <v>0</v>
      </c>
      <c r="I89" s="98" t="s">
        <v>739</v>
      </c>
      <c r="J89" s="580"/>
      <c r="K89" s="581"/>
      <c r="L89" s="582"/>
      <c r="M89" s="582"/>
      <c r="N89" s="583"/>
      <c r="O89" s="582"/>
      <c r="P89" s="584"/>
      <c r="Q89" s="585"/>
      <c r="R89" s="586"/>
      <c r="S89" s="452"/>
      <c r="T89" s="452"/>
      <c r="U89" s="452"/>
      <c r="V89" s="587"/>
      <c r="W89" s="452"/>
      <c r="X89" s="452"/>
      <c r="Y89" s="452"/>
      <c r="Z89" s="452"/>
      <c r="AA89" s="452"/>
      <c r="AB89" s="452"/>
      <c r="AC89" s="452"/>
      <c r="AD89" s="452"/>
      <c r="AE89" s="452"/>
      <c r="AF89" s="452"/>
      <c r="AG89" s="452"/>
      <c r="AH89" s="452"/>
      <c r="AI89" s="452"/>
      <c r="AJ89" s="452"/>
      <c r="AK89" s="452"/>
      <c r="AL89" s="452"/>
      <c r="AM89" s="452"/>
      <c r="AN89" s="452"/>
      <c r="AO89" s="452"/>
      <c r="AP89" s="452"/>
      <c r="AQ89" s="452"/>
      <c r="AR89" s="452"/>
      <c r="AS89" s="452"/>
      <c r="AT89" s="452"/>
      <c r="AU89" s="452"/>
      <c r="AV89" s="541"/>
      <c r="AW89" s="541"/>
      <c r="AX89" s="541"/>
    </row>
    <row r="90" spans="1:50" s="615" customFormat="1" ht="27" customHeight="1">
      <c r="A90" s="92"/>
      <c r="B90" s="93"/>
      <c r="C90" s="94"/>
      <c r="D90" s="99" t="s">
        <v>486</v>
      </c>
      <c r="E90" s="94"/>
      <c r="F90" s="100">
        <f>(8.2)</f>
        <v>8.1999999999999993</v>
      </c>
      <c r="G90" s="97"/>
      <c r="H90" s="97"/>
      <c r="I90" s="98"/>
      <c r="J90" s="580"/>
      <c r="K90" s="581"/>
      <c r="L90" s="582"/>
      <c r="M90" s="582"/>
      <c r="N90" s="583"/>
      <c r="O90" s="582"/>
      <c r="P90" s="584"/>
      <c r="Q90" s="585"/>
      <c r="R90" s="586"/>
      <c r="S90" s="452"/>
      <c r="T90" s="452"/>
      <c r="U90" s="452"/>
      <c r="V90" s="587"/>
      <c r="W90" s="452"/>
      <c r="X90" s="452"/>
      <c r="Y90" s="452"/>
      <c r="Z90" s="452"/>
      <c r="AA90" s="452"/>
      <c r="AB90" s="452"/>
      <c r="AC90" s="452"/>
      <c r="AD90" s="452"/>
      <c r="AE90" s="452"/>
      <c r="AF90" s="452"/>
      <c r="AG90" s="452"/>
      <c r="AH90" s="452"/>
      <c r="AI90" s="452"/>
      <c r="AJ90" s="452"/>
      <c r="AK90" s="452"/>
      <c r="AL90" s="452"/>
      <c r="AM90" s="452"/>
      <c r="AN90" s="452"/>
      <c r="AO90" s="452"/>
      <c r="AP90" s="452"/>
      <c r="AQ90" s="452"/>
      <c r="AR90" s="452"/>
      <c r="AS90" s="452"/>
      <c r="AT90" s="452"/>
      <c r="AU90" s="452"/>
      <c r="AV90" s="541"/>
      <c r="AW90" s="541"/>
      <c r="AX90" s="541"/>
    </row>
    <row r="91" spans="1:50" s="615" customFormat="1" ht="13.5" customHeight="1">
      <c r="A91" s="92"/>
      <c r="B91" s="93"/>
      <c r="C91" s="94"/>
      <c r="D91" s="101" t="s">
        <v>233</v>
      </c>
      <c r="E91" s="94"/>
      <c r="F91" s="102"/>
      <c r="G91" s="97"/>
      <c r="H91" s="97"/>
      <c r="I91" s="98"/>
      <c r="J91" s="580"/>
      <c r="K91" s="581"/>
      <c r="L91" s="582"/>
      <c r="M91" s="582"/>
      <c r="N91" s="583"/>
      <c r="O91" s="582"/>
      <c r="P91" s="584"/>
      <c r="Q91" s="585"/>
      <c r="R91" s="586"/>
      <c r="S91" s="452"/>
      <c r="T91" s="452"/>
      <c r="U91" s="452"/>
      <c r="V91" s="587"/>
      <c r="W91" s="452"/>
      <c r="X91" s="452"/>
      <c r="Y91" s="452"/>
      <c r="Z91" s="452"/>
      <c r="AA91" s="452"/>
      <c r="AB91" s="452"/>
      <c r="AC91" s="452"/>
      <c r="AD91" s="452"/>
      <c r="AE91" s="452"/>
      <c r="AF91" s="452"/>
      <c r="AG91" s="452"/>
      <c r="AH91" s="452"/>
      <c r="AI91" s="452"/>
      <c r="AJ91" s="452"/>
      <c r="AK91" s="452"/>
      <c r="AL91" s="452"/>
      <c r="AM91" s="452"/>
      <c r="AN91" s="452"/>
      <c r="AO91" s="452"/>
      <c r="AP91" s="452"/>
      <c r="AQ91" s="452"/>
      <c r="AR91" s="452"/>
      <c r="AS91" s="452"/>
      <c r="AT91" s="452"/>
      <c r="AU91" s="452"/>
      <c r="AV91" s="541"/>
      <c r="AW91" s="541"/>
      <c r="AX91" s="541"/>
    </row>
    <row r="92" spans="1:50" s="615" customFormat="1" ht="13.5" customHeight="1">
      <c r="A92" s="103">
        <v>31</v>
      </c>
      <c r="B92" s="104" t="s">
        <v>234</v>
      </c>
      <c r="C92" s="105" t="s">
        <v>235</v>
      </c>
      <c r="D92" s="106" t="s">
        <v>236</v>
      </c>
      <c r="E92" s="105" t="s">
        <v>237</v>
      </c>
      <c r="F92" s="107">
        <f>F93</f>
        <v>8.199999999999999E-3</v>
      </c>
      <c r="G92" s="732"/>
      <c r="H92" s="108">
        <f>F92*G92</f>
        <v>0</v>
      </c>
      <c r="I92" s="137" t="s">
        <v>739</v>
      </c>
      <c r="J92" s="622"/>
      <c r="K92" s="617"/>
      <c r="L92" s="618"/>
      <c r="M92" s="618"/>
      <c r="N92" s="619"/>
      <c r="O92" s="618"/>
      <c r="P92" s="620"/>
      <c r="Q92" s="613"/>
      <c r="R92" s="614"/>
      <c r="S92" s="611"/>
      <c r="T92" s="611"/>
      <c r="U92" s="611"/>
      <c r="V92" s="587"/>
      <c r="W92" s="452"/>
      <c r="X92" s="452"/>
      <c r="Y92" s="452"/>
      <c r="Z92" s="452"/>
      <c r="AA92" s="452"/>
      <c r="AB92" s="452"/>
      <c r="AC92" s="452"/>
      <c r="AD92" s="452"/>
      <c r="AE92" s="452"/>
      <c r="AF92" s="452"/>
      <c r="AG92" s="452"/>
      <c r="AH92" s="452"/>
      <c r="AI92" s="452"/>
      <c r="AJ92" s="452"/>
      <c r="AK92" s="452"/>
      <c r="AL92" s="452"/>
      <c r="AM92" s="452"/>
      <c r="AN92" s="452"/>
      <c r="AO92" s="452"/>
      <c r="AP92" s="452"/>
      <c r="AQ92" s="452"/>
      <c r="AR92" s="452"/>
      <c r="AS92" s="452"/>
      <c r="AT92" s="452"/>
      <c r="AU92" s="452"/>
      <c r="AV92" s="541"/>
      <c r="AW92" s="541"/>
      <c r="AX92" s="541"/>
    </row>
    <row r="93" spans="1:50" s="615" customFormat="1" ht="13.5" customHeight="1">
      <c r="A93" s="109"/>
      <c r="B93" s="110"/>
      <c r="C93" s="110"/>
      <c r="D93" s="111" t="s">
        <v>487</v>
      </c>
      <c r="E93" s="112"/>
      <c r="F93" s="113">
        <f>(0.0005*(8.2))*2</f>
        <v>8.199999999999999E-3</v>
      </c>
      <c r="G93" s="114"/>
      <c r="H93" s="114"/>
      <c r="I93" s="102"/>
      <c r="J93" s="624"/>
      <c r="K93" s="617"/>
      <c r="L93" s="618"/>
      <c r="M93" s="625"/>
      <c r="N93" s="619"/>
      <c r="O93" s="618"/>
      <c r="P93" s="620"/>
      <c r="Q93" s="613"/>
      <c r="R93" s="614"/>
      <c r="S93" s="611"/>
      <c r="T93" s="611"/>
      <c r="U93" s="611"/>
      <c r="V93" s="587"/>
      <c r="W93" s="452"/>
      <c r="X93" s="452"/>
      <c r="Y93" s="452"/>
      <c r="Z93" s="452"/>
      <c r="AA93" s="452"/>
      <c r="AB93" s="452"/>
      <c r="AC93" s="452"/>
      <c r="AD93" s="452"/>
      <c r="AE93" s="452"/>
      <c r="AF93" s="452"/>
      <c r="AG93" s="452"/>
      <c r="AH93" s="452"/>
      <c r="AI93" s="452"/>
      <c r="AJ93" s="452"/>
      <c r="AK93" s="452"/>
      <c r="AL93" s="452"/>
      <c r="AM93" s="452"/>
      <c r="AN93" s="452"/>
      <c r="AO93" s="452"/>
      <c r="AP93" s="452"/>
      <c r="AQ93" s="452"/>
      <c r="AR93" s="452"/>
      <c r="AS93" s="452"/>
      <c r="AT93" s="452"/>
      <c r="AU93" s="452"/>
      <c r="AV93" s="541"/>
      <c r="AW93" s="541"/>
      <c r="AX93" s="541"/>
    </row>
    <row r="94" spans="1:50" s="541" customFormat="1" ht="27" customHeight="1">
      <c r="A94" s="564" t="s">
        <v>131</v>
      </c>
      <c r="B94" s="537">
        <v>231</v>
      </c>
      <c r="C94" s="537">
        <v>184802111</v>
      </c>
      <c r="D94" s="537" t="s">
        <v>230</v>
      </c>
      <c r="E94" s="537" t="s">
        <v>98</v>
      </c>
      <c r="F94" s="565">
        <f>SUM(F95)</f>
        <v>16.399999999999999</v>
      </c>
      <c r="G94" s="90"/>
      <c r="H94" s="539">
        <f>F94*G94</f>
        <v>0</v>
      </c>
      <c r="I94" s="545" t="s">
        <v>738</v>
      </c>
      <c r="J94" s="602"/>
      <c r="K94" s="580"/>
      <c r="L94" s="581"/>
      <c r="M94" s="582"/>
      <c r="N94" s="582"/>
      <c r="O94" s="583"/>
      <c r="P94" s="582"/>
      <c r="Q94" s="584"/>
      <c r="R94" s="585"/>
      <c r="S94" s="586"/>
      <c r="T94" s="452"/>
      <c r="U94" s="452"/>
      <c r="V94" s="452"/>
      <c r="W94" s="587"/>
      <c r="X94" s="452"/>
      <c r="Y94" s="452"/>
      <c r="Z94" s="452"/>
      <c r="AA94" s="452"/>
      <c r="AB94" s="452"/>
      <c r="AC94" s="452"/>
      <c r="AD94" s="452"/>
      <c r="AE94" s="452"/>
      <c r="AF94" s="452"/>
      <c r="AG94" s="452"/>
      <c r="AH94" s="452"/>
      <c r="AI94" s="452"/>
      <c r="AJ94" s="452"/>
      <c r="AK94" s="452"/>
      <c r="AL94" s="452"/>
      <c r="AM94" s="452"/>
      <c r="AN94" s="452"/>
      <c r="AO94" s="452"/>
      <c r="AP94" s="452"/>
      <c r="AQ94" s="452"/>
      <c r="AR94" s="452"/>
      <c r="AS94" s="452"/>
      <c r="AT94" s="452"/>
      <c r="AU94" s="452"/>
    </row>
    <row r="95" spans="1:50" s="541" customFormat="1" ht="13.5" customHeight="1">
      <c r="A95" s="564"/>
      <c r="B95" s="537"/>
      <c r="C95" s="537"/>
      <c r="D95" s="542" t="s">
        <v>488</v>
      </c>
      <c r="E95" s="537"/>
      <c r="F95" s="543">
        <f>(8.2)*2</f>
        <v>16.399999999999999</v>
      </c>
      <c r="G95" s="539"/>
      <c r="H95" s="539"/>
      <c r="I95" s="545"/>
      <c r="J95" s="567"/>
      <c r="K95" s="567"/>
      <c r="L95" s="581"/>
      <c r="M95" s="603"/>
      <c r="N95" s="582"/>
      <c r="O95" s="583"/>
      <c r="P95" s="582"/>
      <c r="Q95" s="584"/>
      <c r="R95" s="585"/>
      <c r="S95" s="586"/>
      <c r="T95" s="452"/>
      <c r="U95" s="452"/>
      <c r="V95" s="452"/>
      <c r="W95" s="587"/>
      <c r="X95" s="452"/>
      <c r="Y95" s="452"/>
      <c r="Z95" s="452"/>
      <c r="AA95" s="452"/>
      <c r="AB95" s="452"/>
      <c r="AC95" s="452"/>
      <c r="AD95" s="452"/>
      <c r="AE95" s="452"/>
      <c r="AF95" s="452"/>
      <c r="AG95" s="452"/>
      <c r="AH95" s="452"/>
      <c r="AI95" s="452"/>
      <c r="AJ95" s="452"/>
      <c r="AK95" s="452"/>
      <c r="AL95" s="452"/>
      <c r="AM95" s="452"/>
      <c r="AN95" s="452"/>
      <c r="AO95" s="452"/>
      <c r="AP95" s="452"/>
      <c r="AQ95" s="452"/>
      <c r="AR95" s="452"/>
      <c r="AS95" s="452"/>
      <c r="AT95" s="452"/>
      <c r="AU95" s="452"/>
    </row>
    <row r="96" spans="1:50" s="541" customFormat="1" ht="13.5" customHeight="1">
      <c r="A96" s="535">
        <v>33</v>
      </c>
      <c r="B96" s="536" t="s">
        <v>126</v>
      </c>
      <c r="C96" s="537">
        <v>185802113</v>
      </c>
      <c r="D96" s="579" t="s">
        <v>218</v>
      </c>
      <c r="E96" s="537" t="s">
        <v>125</v>
      </c>
      <c r="F96" s="627">
        <f>SUM(F97)</f>
        <v>1.6399999999999997E-4</v>
      </c>
      <c r="G96" s="90"/>
      <c r="H96" s="539">
        <f>F96*G96</f>
        <v>0</v>
      </c>
      <c r="I96" s="545" t="s">
        <v>738</v>
      </c>
      <c r="J96" s="604"/>
      <c r="K96" s="580"/>
      <c r="L96" s="581"/>
      <c r="M96" s="582"/>
      <c r="N96" s="582"/>
      <c r="O96" s="452"/>
      <c r="P96" s="582"/>
      <c r="Q96" s="584"/>
      <c r="R96" s="585"/>
      <c r="S96" s="586"/>
      <c r="T96" s="452"/>
      <c r="U96" s="452"/>
      <c r="V96" s="452"/>
      <c r="W96" s="587"/>
      <c r="X96" s="452"/>
      <c r="Y96" s="452"/>
      <c r="Z96" s="452"/>
      <c r="AA96" s="452"/>
      <c r="AB96" s="452"/>
      <c r="AC96" s="452"/>
      <c r="AD96" s="452"/>
      <c r="AE96" s="452"/>
      <c r="AF96" s="452"/>
      <c r="AG96" s="452"/>
      <c r="AH96" s="452"/>
      <c r="AI96" s="452"/>
      <c r="AJ96" s="452"/>
      <c r="AK96" s="452"/>
      <c r="AL96" s="452"/>
      <c r="AM96" s="452"/>
      <c r="AN96" s="452"/>
      <c r="AO96" s="452"/>
      <c r="AP96" s="452"/>
      <c r="AQ96" s="452"/>
      <c r="AR96" s="452"/>
      <c r="AS96" s="452"/>
      <c r="AT96" s="452"/>
      <c r="AU96" s="452"/>
    </row>
    <row r="97" spans="1:256" s="541" customFormat="1" ht="13.5" customHeight="1">
      <c r="A97" s="535"/>
      <c r="B97" s="536"/>
      <c r="C97" s="537"/>
      <c r="D97" s="542" t="s">
        <v>489</v>
      </c>
      <c r="E97" s="537"/>
      <c r="F97" s="629">
        <f>((8.2)*0.02)/1000</f>
        <v>1.6399999999999997E-4</v>
      </c>
      <c r="G97" s="539"/>
      <c r="H97" s="539"/>
      <c r="I97" s="545"/>
      <c r="J97" s="602"/>
      <c r="K97" s="580"/>
      <c r="L97" s="581"/>
      <c r="M97" s="582"/>
      <c r="N97" s="582"/>
      <c r="O97" s="583"/>
      <c r="P97" s="582"/>
      <c r="Q97" s="584"/>
      <c r="R97" s="585"/>
      <c r="S97" s="586"/>
      <c r="T97" s="452"/>
      <c r="U97" s="452"/>
      <c r="V97" s="452"/>
      <c r="W97" s="587"/>
      <c r="X97" s="452"/>
      <c r="Y97" s="452"/>
      <c r="Z97" s="452"/>
      <c r="AA97" s="452"/>
      <c r="AB97" s="452"/>
      <c r="AC97" s="452"/>
      <c r="AD97" s="452"/>
      <c r="AE97" s="452"/>
      <c r="AF97" s="452"/>
      <c r="AG97" s="452"/>
      <c r="AH97" s="452"/>
      <c r="AI97" s="452"/>
      <c r="AJ97" s="452"/>
      <c r="AK97" s="452"/>
      <c r="AL97" s="452"/>
      <c r="AM97" s="452"/>
      <c r="AN97" s="452"/>
      <c r="AO97" s="452"/>
      <c r="AP97" s="452"/>
      <c r="AQ97" s="452"/>
      <c r="AR97" s="452"/>
      <c r="AS97" s="452"/>
      <c r="AT97" s="452"/>
      <c r="AU97" s="452"/>
    </row>
    <row r="98" spans="1:256" s="541" customFormat="1" ht="13.5" customHeight="1">
      <c r="A98" s="588">
        <v>34</v>
      </c>
      <c r="B98" s="589" t="s">
        <v>219</v>
      </c>
      <c r="C98" s="593">
        <v>25191155</v>
      </c>
      <c r="D98" s="592" t="s">
        <v>564</v>
      </c>
      <c r="E98" s="593" t="s">
        <v>220</v>
      </c>
      <c r="F98" s="594">
        <f>SUM(F99:F99)</f>
        <v>0.16399999999999998</v>
      </c>
      <c r="G98" s="91"/>
      <c r="H98" s="590">
        <f>F98*G98</f>
        <v>0</v>
      </c>
      <c r="I98" s="591" t="s">
        <v>738</v>
      </c>
      <c r="J98" s="509"/>
      <c r="K98" s="509"/>
      <c r="L98" s="609"/>
      <c r="M98" s="609"/>
      <c r="N98" s="610"/>
      <c r="O98" s="611"/>
      <c r="P98" s="612"/>
      <c r="Q98" s="613"/>
      <c r="R98" s="614"/>
      <c r="S98" s="611"/>
      <c r="T98" s="611"/>
      <c r="U98" s="611"/>
      <c r="V98" s="611"/>
      <c r="W98" s="611"/>
      <c r="X98" s="611"/>
      <c r="Y98" s="611"/>
      <c r="Z98" s="611"/>
      <c r="AA98" s="611"/>
      <c r="AB98" s="611"/>
      <c r="AC98" s="611"/>
      <c r="AD98" s="611"/>
      <c r="AE98" s="611"/>
      <c r="AF98" s="611"/>
      <c r="AG98" s="611"/>
      <c r="AH98" s="611"/>
      <c r="AI98" s="611"/>
      <c r="AJ98" s="611"/>
      <c r="AK98" s="611"/>
      <c r="AL98" s="611"/>
      <c r="AM98" s="611"/>
      <c r="AN98" s="611"/>
      <c r="AO98" s="611"/>
      <c r="AP98" s="611"/>
      <c r="AQ98" s="611"/>
      <c r="AR98" s="611"/>
      <c r="AS98" s="611"/>
      <c r="AT98" s="611"/>
      <c r="AU98" s="611"/>
      <c r="AV98" s="615"/>
      <c r="AW98" s="615"/>
      <c r="AX98" s="615"/>
    </row>
    <row r="99" spans="1:256" s="541" customFormat="1" ht="13.5" customHeight="1">
      <c r="A99" s="605"/>
      <c r="B99" s="606"/>
      <c r="C99" s="606"/>
      <c r="D99" s="597" t="s">
        <v>490</v>
      </c>
      <c r="E99" s="593"/>
      <c r="F99" s="598">
        <f>(8.2)*0.02</f>
        <v>0.16399999999999998</v>
      </c>
      <c r="G99" s="607"/>
      <c r="H99" s="607"/>
      <c r="I99" s="608"/>
      <c r="J99" s="616"/>
      <c r="K99" s="617"/>
      <c r="L99" s="618"/>
      <c r="M99" s="618"/>
      <c r="N99" s="619"/>
      <c r="O99" s="618"/>
      <c r="P99" s="620"/>
      <c r="Q99" s="613"/>
      <c r="R99" s="614"/>
      <c r="S99" s="611"/>
      <c r="T99" s="611"/>
      <c r="U99" s="611"/>
      <c r="V99" s="611"/>
      <c r="W99" s="611"/>
      <c r="X99" s="611"/>
      <c r="Y99" s="611"/>
      <c r="Z99" s="611"/>
      <c r="AA99" s="611"/>
      <c r="AB99" s="611"/>
      <c r="AC99" s="611"/>
      <c r="AD99" s="611"/>
      <c r="AE99" s="611"/>
      <c r="AF99" s="611"/>
      <c r="AG99" s="611"/>
      <c r="AH99" s="611"/>
      <c r="AI99" s="611"/>
      <c r="AJ99" s="611"/>
      <c r="AK99" s="611"/>
      <c r="AL99" s="611"/>
      <c r="AM99" s="611"/>
      <c r="AN99" s="611"/>
      <c r="AO99" s="611"/>
      <c r="AP99" s="611"/>
      <c r="AQ99" s="611"/>
      <c r="AR99" s="611"/>
      <c r="AS99" s="611"/>
      <c r="AT99" s="611"/>
      <c r="AU99" s="611"/>
      <c r="AV99" s="615"/>
      <c r="AW99" s="615"/>
      <c r="AX99" s="615"/>
    </row>
    <row r="100" spans="1:256" s="541" customFormat="1" ht="13.5" customHeight="1">
      <c r="A100" s="564" t="s">
        <v>192</v>
      </c>
      <c r="B100" s="537">
        <v>231</v>
      </c>
      <c r="C100" s="537">
        <v>185803111</v>
      </c>
      <c r="D100" s="537" t="s">
        <v>221</v>
      </c>
      <c r="E100" s="537" t="s">
        <v>98</v>
      </c>
      <c r="F100" s="565">
        <f>SUM(F101)</f>
        <v>8.1999999999999993</v>
      </c>
      <c r="G100" s="90"/>
      <c r="H100" s="539">
        <f>F100*G100</f>
        <v>0</v>
      </c>
      <c r="I100" s="545" t="s">
        <v>738</v>
      </c>
      <c r="J100" s="611"/>
      <c r="K100" s="617"/>
      <c r="L100" s="618"/>
      <c r="M100" s="618"/>
      <c r="N100" s="619"/>
      <c r="O100" s="618"/>
      <c r="P100" s="620"/>
      <c r="Q100" s="613"/>
      <c r="R100" s="614"/>
      <c r="S100" s="611"/>
      <c r="T100" s="611"/>
      <c r="U100" s="611"/>
      <c r="V100" s="611"/>
      <c r="W100" s="611"/>
      <c r="X100" s="611"/>
      <c r="Y100" s="611"/>
      <c r="Z100" s="611"/>
      <c r="AA100" s="611"/>
      <c r="AB100" s="611"/>
      <c r="AC100" s="611"/>
      <c r="AD100" s="611"/>
      <c r="AE100" s="611"/>
      <c r="AF100" s="611"/>
      <c r="AG100" s="611"/>
      <c r="AH100" s="611"/>
      <c r="AI100" s="611"/>
      <c r="AJ100" s="611"/>
      <c r="AK100" s="611"/>
      <c r="AL100" s="611"/>
      <c r="AM100" s="611"/>
      <c r="AN100" s="611"/>
      <c r="AO100" s="611"/>
      <c r="AP100" s="611"/>
      <c r="AQ100" s="611"/>
      <c r="AR100" s="611"/>
      <c r="AS100" s="611"/>
      <c r="AT100" s="611"/>
      <c r="AU100" s="611"/>
      <c r="AV100" s="615"/>
      <c r="AW100" s="615"/>
      <c r="AX100" s="615"/>
    </row>
    <row r="101" spans="1:256" s="541" customFormat="1" ht="13.5" customHeight="1">
      <c r="A101" s="564"/>
      <c r="B101" s="537"/>
      <c r="C101" s="537"/>
      <c r="D101" s="542" t="s">
        <v>491</v>
      </c>
      <c r="E101" s="537"/>
      <c r="F101" s="543">
        <f>8.2</f>
        <v>8.1999999999999993</v>
      </c>
      <c r="G101" s="539"/>
      <c r="H101" s="539"/>
      <c r="I101" s="545"/>
      <c r="J101" s="624"/>
      <c r="K101" s="617"/>
      <c r="L101" s="618"/>
      <c r="M101" s="618"/>
      <c r="N101" s="619"/>
      <c r="O101" s="618"/>
      <c r="P101" s="620"/>
      <c r="Q101" s="613"/>
      <c r="R101" s="614"/>
      <c r="S101" s="611"/>
      <c r="T101" s="611"/>
      <c r="U101" s="611"/>
      <c r="V101" s="611"/>
      <c r="W101" s="611"/>
      <c r="X101" s="611"/>
      <c r="Y101" s="611"/>
      <c r="Z101" s="611"/>
      <c r="AA101" s="611"/>
      <c r="AB101" s="611"/>
      <c r="AC101" s="611"/>
      <c r="AD101" s="611"/>
      <c r="AE101" s="611"/>
      <c r="AF101" s="611"/>
      <c r="AG101" s="611"/>
      <c r="AH101" s="611"/>
      <c r="AI101" s="611"/>
      <c r="AJ101" s="611"/>
      <c r="AK101" s="611"/>
      <c r="AL101" s="611"/>
      <c r="AM101" s="611"/>
      <c r="AN101" s="611"/>
      <c r="AO101" s="611"/>
      <c r="AP101" s="611"/>
      <c r="AQ101" s="611"/>
      <c r="AR101" s="611"/>
      <c r="AS101" s="611"/>
      <c r="AT101" s="611"/>
      <c r="AU101" s="611"/>
      <c r="AV101" s="615"/>
      <c r="AW101" s="615"/>
      <c r="AX101" s="615"/>
    </row>
    <row r="102" spans="1:256" s="647" customFormat="1" ht="13.5" customHeight="1">
      <c r="A102" s="631">
        <v>36</v>
      </c>
      <c r="B102" s="632" t="s">
        <v>126</v>
      </c>
      <c r="C102" s="633">
        <v>185804311</v>
      </c>
      <c r="D102" s="634" t="s">
        <v>229</v>
      </c>
      <c r="E102" s="633" t="s">
        <v>122</v>
      </c>
      <c r="F102" s="635">
        <f>SUM(F103:F103)</f>
        <v>0.12299999999999998</v>
      </c>
      <c r="G102" s="733"/>
      <c r="H102" s="636">
        <f>F102*G102</f>
        <v>0</v>
      </c>
      <c r="I102" s="545" t="s">
        <v>738</v>
      </c>
      <c r="J102" s="624"/>
      <c r="K102" s="617"/>
      <c r="L102" s="618"/>
      <c r="M102" s="618"/>
      <c r="N102" s="619"/>
      <c r="O102" s="618"/>
      <c r="P102" s="620"/>
      <c r="Q102" s="613"/>
      <c r="R102" s="614"/>
      <c r="S102" s="611"/>
      <c r="T102" s="611"/>
      <c r="U102" s="611"/>
      <c r="V102" s="611"/>
      <c r="W102" s="611"/>
      <c r="X102" s="611"/>
      <c r="Y102" s="611"/>
      <c r="Z102" s="611"/>
      <c r="AA102" s="611"/>
      <c r="AB102" s="611"/>
      <c r="AC102" s="611"/>
      <c r="AD102" s="611"/>
      <c r="AE102" s="611"/>
      <c r="AF102" s="611"/>
      <c r="AG102" s="611"/>
      <c r="AH102" s="611"/>
      <c r="AI102" s="611"/>
      <c r="AJ102" s="611"/>
      <c r="AK102" s="611"/>
      <c r="AL102" s="611"/>
      <c r="AM102" s="611"/>
      <c r="AN102" s="611"/>
      <c r="AO102" s="611"/>
      <c r="AP102" s="611"/>
      <c r="AQ102" s="611"/>
      <c r="AR102" s="611"/>
      <c r="AS102" s="611"/>
      <c r="AT102" s="611"/>
      <c r="AU102" s="611"/>
      <c r="AV102" s="615"/>
      <c r="AW102" s="615"/>
      <c r="AX102" s="615"/>
    </row>
    <row r="103" spans="1:256" s="647" customFormat="1" ht="13.5" customHeight="1">
      <c r="A103" s="648"/>
      <c r="B103" s="649"/>
      <c r="C103" s="649"/>
      <c r="D103" s="650" t="s">
        <v>492</v>
      </c>
      <c r="E103" s="633"/>
      <c r="F103" s="651">
        <f>0.015*(8.2)</f>
        <v>0.12299999999999998</v>
      </c>
      <c r="G103" s="652"/>
      <c r="H103" s="652"/>
      <c r="I103" s="653"/>
      <c r="J103" s="626"/>
      <c r="K103" s="452"/>
      <c r="L103" s="452"/>
      <c r="M103" s="569"/>
      <c r="N103" s="569"/>
      <c r="O103" s="570"/>
      <c r="P103" s="571"/>
      <c r="Q103" s="572"/>
      <c r="R103" s="573"/>
      <c r="S103" s="573"/>
      <c r="T103" s="574"/>
      <c r="U103" s="452"/>
      <c r="V103" s="575"/>
      <c r="W103" s="452"/>
      <c r="X103" s="452"/>
      <c r="Y103" s="452"/>
      <c r="Z103" s="452"/>
      <c r="AA103" s="452"/>
      <c r="AB103" s="452"/>
      <c r="AC103" s="452"/>
      <c r="AD103" s="452"/>
      <c r="AE103" s="452"/>
      <c r="AF103" s="452"/>
      <c r="AG103" s="452"/>
      <c r="AH103" s="452"/>
      <c r="AI103" s="452"/>
      <c r="AJ103" s="452"/>
      <c r="AK103" s="452"/>
      <c r="AL103" s="452"/>
      <c r="AM103" s="452"/>
      <c r="AN103" s="452"/>
      <c r="AO103" s="452"/>
      <c r="AP103" s="452"/>
      <c r="AQ103" s="452"/>
      <c r="AR103" s="452"/>
      <c r="AS103" s="452"/>
      <c r="AT103" s="452"/>
      <c r="AU103" s="452"/>
      <c r="AV103" s="541"/>
      <c r="AW103" s="541"/>
      <c r="AX103" s="541"/>
    </row>
    <row r="104" spans="1:256" s="508" customFormat="1" ht="27" customHeight="1">
      <c r="A104" s="530">
        <v>37</v>
      </c>
      <c r="B104" s="700" t="s">
        <v>96</v>
      </c>
      <c r="C104" s="34" t="s">
        <v>238</v>
      </c>
      <c r="D104" s="34" t="s">
        <v>632</v>
      </c>
      <c r="E104" s="34" t="s">
        <v>122</v>
      </c>
      <c r="F104" s="534">
        <f>SUM(F105:F105)</f>
        <v>6.64</v>
      </c>
      <c r="G104" s="848">
        <f>SUM(H106:H109)/F104</f>
        <v>0</v>
      </c>
      <c r="H104" s="848">
        <f>F104*G104</f>
        <v>0</v>
      </c>
      <c r="I104" s="533" t="s">
        <v>739</v>
      </c>
      <c r="J104" s="546"/>
      <c r="K104" s="567"/>
      <c r="L104" s="578"/>
      <c r="M104" s="569"/>
      <c r="N104" s="569"/>
      <c r="O104" s="570"/>
      <c r="P104" s="571"/>
      <c r="Q104" s="572"/>
      <c r="R104" s="573"/>
      <c r="S104" s="573"/>
      <c r="T104" s="574"/>
      <c r="U104" s="452"/>
      <c r="V104" s="575"/>
      <c r="W104" s="452"/>
      <c r="X104" s="452"/>
      <c r="Y104" s="452"/>
      <c r="Z104" s="452"/>
      <c r="AA104" s="452"/>
      <c r="AB104" s="452"/>
      <c r="AC104" s="452"/>
      <c r="AD104" s="452"/>
      <c r="AE104" s="452"/>
      <c r="AF104" s="452"/>
      <c r="AG104" s="452"/>
      <c r="AH104" s="452"/>
      <c r="AI104" s="452"/>
      <c r="AJ104" s="452"/>
      <c r="AK104" s="452"/>
      <c r="AL104" s="452"/>
      <c r="AM104" s="452"/>
      <c r="AN104" s="452"/>
      <c r="AO104" s="452"/>
      <c r="AP104" s="452"/>
      <c r="AQ104" s="452"/>
      <c r="AR104" s="452"/>
      <c r="AS104" s="452"/>
      <c r="AT104" s="452"/>
      <c r="AU104" s="452"/>
      <c r="AV104" s="541"/>
      <c r="AW104" s="541"/>
      <c r="AX104" s="541"/>
      <c r="AY104" s="506"/>
      <c r="AZ104" s="506"/>
      <c r="BA104" s="506"/>
      <c r="BB104" s="506"/>
      <c r="BC104" s="506"/>
      <c r="BD104" s="506"/>
      <c r="BE104" s="506"/>
      <c r="BF104" s="506"/>
      <c r="BG104" s="506"/>
      <c r="BH104" s="506"/>
      <c r="BI104" s="506"/>
      <c r="BJ104" s="506"/>
      <c r="BK104" s="506"/>
      <c r="BL104" s="506"/>
      <c r="BM104" s="506"/>
      <c r="BN104" s="506"/>
      <c r="BO104" s="506"/>
      <c r="BP104" s="506"/>
      <c r="BQ104" s="506"/>
      <c r="BR104" s="506"/>
      <c r="BS104" s="506"/>
      <c r="BT104" s="506"/>
      <c r="BU104" s="506"/>
      <c r="BV104" s="506"/>
      <c r="BW104" s="506"/>
      <c r="BX104" s="506"/>
      <c r="BY104" s="506"/>
      <c r="BZ104" s="506"/>
      <c r="CA104" s="506"/>
      <c r="CB104" s="506"/>
      <c r="CC104" s="506"/>
      <c r="CD104" s="506"/>
      <c r="CE104" s="506"/>
      <c r="CF104" s="506"/>
      <c r="CG104" s="506"/>
      <c r="CH104" s="506"/>
      <c r="CI104" s="506"/>
      <c r="CJ104" s="506"/>
      <c r="CK104" s="506"/>
      <c r="CL104" s="506"/>
      <c r="CM104" s="506"/>
      <c r="CN104" s="506"/>
      <c r="CO104" s="506"/>
      <c r="CP104" s="506"/>
      <c r="CQ104" s="506"/>
      <c r="CR104" s="506"/>
      <c r="CS104" s="506"/>
      <c r="CT104" s="506"/>
      <c r="CU104" s="506"/>
      <c r="CV104" s="506"/>
      <c r="CW104" s="506"/>
      <c r="CX104" s="506"/>
      <c r="CY104" s="506"/>
      <c r="CZ104" s="506"/>
      <c r="DA104" s="506"/>
      <c r="DB104" s="506"/>
      <c r="DC104" s="506"/>
      <c r="DD104" s="506"/>
      <c r="DE104" s="506"/>
      <c r="DF104" s="506"/>
      <c r="DG104" s="506"/>
      <c r="DH104" s="506"/>
      <c r="DI104" s="506"/>
      <c r="DJ104" s="506"/>
      <c r="DK104" s="506"/>
      <c r="DL104" s="506"/>
      <c r="DM104" s="506"/>
      <c r="DN104" s="506"/>
      <c r="DO104" s="506"/>
      <c r="DP104" s="506"/>
      <c r="DQ104" s="506"/>
      <c r="DR104" s="506"/>
      <c r="DS104" s="506"/>
      <c r="DT104" s="506"/>
      <c r="DU104" s="506"/>
      <c r="DV104" s="506"/>
      <c r="DW104" s="506"/>
      <c r="DX104" s="506"/>
      <c r="DY104" s="506"/>
      <c r="DZ104" s="506"/>
      <c r="EA104" s="506"/>
      <c r="EB104" s="506"/>
      <c r="EC104" s="506"/>
      <c r="ED104" s="506"/>
      <c r="EE104" s="506"/>
      <c r="EF104" s="506"/>
      <c r="EG104" s="506"/>
      <c r="EH104" s="506"/>
      <c r="EI104" s="506"/>
      <c r="EJ104" s="506"/>
      <c r="EK104" s="506"/>
      <c r="EL104" s="506"/>
      <c r="EM104" s="506"/>
      <c r="EN104" s="506"/>
      <c r="EO104" s="506"/>
      <c r="EP104" s="506"/>
      <c r="EQ104" s="506"/>
      <c r="ER104" s="506"/>
      <c r="ES104" s="506"/>
      <c r="ET104" s="506"/>
      <c r="EU104" s="506"/>
      <c r="EV104" s="506"/>
      <c r="EW104" s="506"/>
      <c r="EX104" s="506"/>
      <c r="EY104" s="506"/>
      <c r="EZ104" s="506"/>
      <c r="FA104" s="506"/>
      <c r="FB104" s="506"/>
      <c r="FC104" s="506"/>
      <c r="FD104" s="506"/>
      <c r="FE104" s="506"/>
      <c r="FF104" s="506"/>
      <c r="FG104" s="506"/>
      <c r="FH104" s="506"/>
      <c r="FI104" s="506"/>
      <c r="FJ104" s="506"/>
      <c r="FK104" s="506"/>
      <c r="FL104" s="506"/>
      <c r="FM104" s="506"/>
      <c r="FN104" s="506"/>
      <c r="FO104" s="506"/>
      <c r="FP104" s="506"/>
      <c r="FQ104" s="506"/>
      <c r="FR104" s="506"/>
      <c r="FS104" s="506"/>
      <c r="FT104" s="506"/>
      <c r="FU104" s="506"/>
      <c r="FV104" s="506"/>
      <c r="FW104" s="506"/>
      <c r="FX104" s="506"/>
      <c r="FY104" s="506"/>
      <c r="FZ104" s="506"/>
      <c r="GA104" s="506"/>
      <c r="GB104" s="506"/>
      <c r="GC104" s="506"/>
      <c r="GD104" s="506"/>
      <c r="GE104" s="506"/>
      <c r="GF104" s="506"/>
      <c r="GG104" s="506"/>
      <c r="GH104" s="506"/>
      <c r="GI104" s="506"/>
      <c r="GJ104" s="506"/>
      <c r="GK104" s="506"/>
      <c r="GL104" s="506"/>
      <c r="GM104" s="506"/>
      <c r="GN104" s="506"/>
      <c r="GO104" s="506"/>
      <c r="GP104" s="506"/>
      <c r="GQ104" s="506"/>
      <c r="GR104" s="506"/>
      <c r="GS104" s="506"/>
      <c r="GT104" s="506"/>
      <c r="GU104" s="506"/>
      <c r="GV104" s="506"/>
      <c r="GW104" s="506"/>
      <c r="GX104" s="506"/>
      <c r="GY104" s="506"/>
      <c r="GZ104" s="506"/>
      <c r="HA104" s="506"/>
      <c r="HB104" s="506"/>
      <c r="HC104" s="506"/>
      <c r="HD104" s="506"/>
      <c r="HE104" s="506"/>
      <c r="HF104" s="506"/>
      <c r="HG104" s="506"/>
      <c r="HH104" s="506"/>
      <c r="HI104" s="506"/>
      <c r="HJ104" s="506"/>
      <c r="HK104" s="506"/>
      <c r="HL104" s="506"/>
      <c r="HM104" s="506"/>
      <c r="HN104" s="506"/>
      <c r="HO104" s="506"/>
      <c r="HP104" s="506"/>
      <c r="HQ104" s="506"/>
      <c r="HR104" s="506"/>
      <c r="HS104" s="506"/>
      <c r="HT104" s="506"/>
      <c r="HU104" s="506"/>
      <c r="HV104" s="506"/>
      <c r="HW104" s="506"/>
      <c r="HX104" s="506"/>
      <c r="HY104" s="506"/>
      <c r="HZ104" s="506"/>
      <c r="IA104" s="506"/>
      <c r="IB104" s="506"/>
      <c r="IC104" s="506"/>
      <c r="ID104" s="506"/>
      <c r="IE104" s="506"/>
      <c r="IF104" s="506"/>
      <c r="IG104" s="506"/>
      <c r="IH104" s="506"/>
      <c r="II104" s="506"/>
      <c r="IJ104" s="506"/>
      <c r="IK104" s="506"/>
      <c r="IL104" s="506"/>
      <c r="IM104" s="506"/>
      <c r="IN104" s="506"/>
      <c r="IO104" s="506"/>
      <c r="IP104" s="506"/>
      <c r="IQ104" s="506"/>
      <c r="IR104" s="506"/>
      <c r="IS104" s="506"/>
      <c r="IT104" s="506"/>
      <c r="IU104" s="506"/>
      <c r="IV104" s="506"/>
    </row>
    <row r="105" spans="1:256" s="508" customFormat="1" ht="13.5" customHeight="1">
      <c r="A105" s="849"/>
      <c r="B105" s="850"/>
      <c r="C105" s="851"/>
      <c r="D105" s="36" t="s">
        <v>493</v>
      </c>
      <c r="E105" s="36"/>
      <c r="F105" s="548">
        <f>13.2-6.56</f>
        <v>6.64</v>
      </c>
      <c r="G105" s="848"/>
      <c r="H105" s="848"/>
      <c r="I105" s="697"/>
      <c r="J105" s="628"/>
      <c r="K105" s="580"/>
      <c r="L105" s="581"/>
      <c r="M105" s="582"/>
      <c r="N105" s="582"/>
      <c r="O105" s="583"/>
      <c r="P105" s="582"/>
      <c r="Q105" s="584"/>
      <c r="R105" s="585"/>
      <c r="S105" s="586"/>
      <c r="T105" s="452"/>
      <c r="U105" s="452"/>
      <c r="V105" s="452"/>
      <c r="W105" s="587"/>
      <c r="X105" s="452"/>
      <c r="Y105" s="452"/>
      <c r="Z105" s="452"/>
      <c r="AA105" s="452"/>
      <c r="AB105" s="452"/>
      <c r="AC105" s="452"/>
      <c r="AD105" s="452"/>
      <c r="AE105" s="452"/>
      <c r="AF105" s="452"/>
      <c r="AG105" s="452"/>
      <c r="AH105" s="452"/>
      <c r="AI105" s="452"/>
      <c r="AJ105" s="452"/>
      <c r="AK105" s="452"/>
      <c r="AL105" s="452"/>
      <c r="AM105" s="452"/>
      <c r="AN105" s="452"/>
      <c r="AO105" s="452"/>
      <c r="AP105" s="452"/>
      <c r="AQ105" s="452"/>
      <c r="AR105" s="452"/>
      <c r="AS105" s="452"/>
      <c r="AT105" s="452"/>
      <c r="AU105" s="452"/>
      <c r="AV105" s="541"/>
      <c r="AW105" s="541"/>
      <c r="AX105" s="541"/>
      <c r="AY105" s="506"/>
      <c r="AZ105" s="506"/>
      <c r="BA105" s="506"/>
      <c r="BB105" s="506"/>
      <c r="BC105" s="506"/>
      <c r="BD105" s="506"/>
      <c r="BE105" s="506"/>
      <c r="BF105" s="506"/>
      <c r="BG105" s="506"/>
      <c r="BH105" s="506"/>
      <c r="BI105" s="506"/>
      <c r="BJ105" s="506"/>
      <c r="BK105" s="506"/>
      <c r="BL105" s="506"/>
      <c r="BM105" s="506"/>
      <c r="BN105" s="506"/>
      <c r="BO105" s="506"/>
      <c r="BP105" s="506"/>
      <c r="BQ105" s="506"/>
      <c r="BR105" s="506"/>
      <c r="BS105" s="506"/>
      <c r="BT105" s="506"/>
      <c r="BU105" s="506"/>
      <c r="BV105" s="506"/>
      <c r="BW105" s="506"/>
      <c r="BX105" s="506"/>
      <c r="BY105" s="506"/>
      <c r="BZ105" s="506"/>
      <c r="CA105" s="506"/>
      <c r="CB105" s="506"/>
      <c r="CC105" s="506"/>
      <c r="CD105" s="506"/>
      <c r="CE105" s="506"/>
      <c r="CF105" s="506"/>
      <c r="CG105" s="506"/>
      <c r="CH105" s="506"/>
      <c r="CI105" s="506"/>
      <c r="CJ105" s="506"/>
      <c r="CK105" s="506"/>
      <c r="CL105" s="506"/>
      <c r="CM105" s="506"/>
      <c r="CN105" s="506"/>
      <c r="CO105" s="506"/>
      <c r="CP105" s="506"/>
      <c r="CQ105" s="506"/>
      <c r="CR105" s="506"/>
      <c r="CS105" s="506"/>
      <c r="CT105" s="506"/>
      <c r="CU105" s="506"/>
      <c r="CV105" s="506"/>
      <c r="CW105" s="506"/>
      <c r="CX105" s="506"/>
      <c r="CY105" s="506"/>
      <c r="CZ105" s="506"/>
      <c r="DA105" s="506"/>
      <c r="DB105" s="506"/>
      <c r="DC105" s="506"/>
      <c r="DD105" s="506"/>
      <c r="DE105" s="506"/>
      <c r="DF105" s="506"/>
      <c r="DG105" s="506"/>
      <c r="DH105" s="506"/>
      <c r="DI105" s="506"/>
      <c r="DJ105" s="506"/>
      <c r="DK105" s="506"/>
      <c r="DL105" s="506"/>
      <c r="DM105" s="506"/>
      <c r="DN105" s="506"/>
      <c r="DO105" s="506"/>
      <c r="DP105" s="506"/>
      <c r="DQ105" s="506"/>
      <c r="DR105" s="506"/>
      <c r="DS105" s="506"/>
      <c r="DT105" s="506"/>
      <c r="DU105" s="506"/>
      <c r="DV105" s="506"/>
      <c r="DW105" s="506"/>
      <c r="DX105" s="506"/>
      <c r="DY105" s="506"/>
      <c r="DZ105" s="506"/>
      <c r="EA105" s="506"/>
      <c r="EB105" s="506"/>
      <c r="EC105" s="506"/>
      <c r="ED105" s="506"/>
      <c r="EE105" s="506"/>
      <c r="EF105" s="506"/>
      <c r="EG105" s="506"/>
      <c r="EH105" s="506"/>
      <c r="EI105" s="506"/>
      <c r="EJ105" s="506"/>
      <c r="EK105" s="506"/>
      <c r="EL105" s="506"/>
      <c r="EM105" s="506"/>
      <c r="EN105" s="506"/>
      <c r="EO105" s="506"/>
      <c r="EP105" s="506"/>
      <c r="EQ105" s="506"/>
      <c r="ER105" s="506"/>
      <c r="ES105" s="506"/>
      <c r="ET105" s="506"/>
      <c r="EU105" s="506"/>
      <c r="EV105" s="506"/>
      <c r="EW105" s="506"/>
      <c r="EX105" s="506"/>
      <c r="EY105" s="506"/>
      <c r="EZ105" s="506"/>
      <c r="FA105" s="506"/>
      <c r="FB105" s="506"/>
      <c r="FC105" s="506"/>
      <c r="FD105" s="506"/>
      <c r="FE105" s="506"/>
      <c r="FF105" s="506"/>
      <c r="FG105" s="506"/>
      <c r="FH105" s="506"/>
      <c r="FI105" s="506"/>
      <c r="FJ105" s="506"/>
      <c r="FK105" s="506"/>
      <c r="FL105" s="506"/>
      <c r="FM105" s="506"/>
      <c r="FN105" s="506"/>
      <c r="FO105" s="506"/>
      <c r="FP105" s="506"/>
      <c r="FQ105" s="506"/>
      <c r="FR105" s="506"/>
      <c r="FS105" s="506"/>
      <c r="FT105" s="506"/>
      <c r="FU105" s="506"/>
      <c r="FV105" s="506"/>
      <c r="FW105" s="506"/>
      <c r="FX105" s="506"/>
      <c r="FY105" s="506"/>
      <c r="FZ105" s="506"/>
      <c r="GA105" s="506"/>
      <c r="GB105" s="506"/>
      <c r="GC105" s="506"/>
      <c r="GD105" s="506"/>
      <c r="GE105" s="506"/>
      <c r="GF105" s="506"/>
      <c r="GG105" s="506"/>
      <c r="GH105" s="506"/>
      <c r="GI105" s="506"/>
      <c r="GJ105" s="506"/>
      <c r="GK105" s="506"/>
      <c r="GL105" s="506"/>
      <c r="GM105" s="506"/>
      <c r="GN105" s="506"/>
      <c r="GO105" s="506"/>
      <c r="GP105" s="506"/>
      <c r="GQ105" s="506"/>
      <c r="GR105" s="506"/>
      <c r="GS105" s="506"/>
      <c r="GT105" s="506"/>
      <c r="GU105" s="506"/>
      <c r="GV105" s="506"/>
      <c r="GW105" s="506"/>
      <c r="GX105" s="506"/>
      <c r="GY105" s="506"/>
      <c r="GZ105" s="506"/>
      <c r="HA105" s="506"/>
      <c r="HB105" s="506"/>
      <c r="HC105" s="506"/>
      <c r="HD105" s="506"/>
      <c r="HE105" s="506"/>
      <c r="HF105" s="506"/>
      <c r="HG105" s="506"/>
      <c r="HH105" s="506"/>
      <c r="HI105" s="506"/>
      <c r="HJ105" s="506"/>
      <c r="HK105" s="506"/>
      <c r="HL105" s="506"/>
      <c r="HM105" s="506"/>
      <c r="HN105" s="506"/>
      <c r="HO105" s="506"/>
      <c r="HP105" s="506"/>
      <c r="HQ105" s="506"/>
      <c r="HR105" s="506"/>
      <c r="HS105" s="506"/>
      <c r="HT105" s="506"/>
      <c r="HU105" s="506"/>
      <c r="HV105" s="506"/>
      <c r="HW105" s="506"/>
      <c r="HX105" s="506"/>
      <c r="HY105" s="506"/>
      <c r="HZ105" s="506"/>
      <c r="IA105" s="506"/>
      <c r="IB105" s="506"/>
      <c r="IC105" s="506"/>
      <c r="ID105" s="506"/>
      <c r="IE105" s="506"/>
      <c r="IF105" s="506"/>
      <c r="IG105" s="506"/>
      <c r="IH105" s="506"/>
      <c r="II105" s="506"/>
      <c r="IJ105" s="506"/>
      <c r="IK105" s="506"/>
      <c r="IL105" s="506"/>
      <c r="IM105" s="506"/>
      <c r="IN105" s="506"/>
      <c r="IO105" s="506"/>
      <c r="IP105" s="506"/>
      <c r="IQ105" s="506"/>
      <c r="IR105" s="506"/>
      <c r="IS105" s="506"/>
      <c r="IT105" s="506"/>
      <c r="IU105" s="506"/>
      <c r="IV105" s="506"/>
    </row>
    <row r="106" spans="1:256" s="508" customFormat="1" ht="13.5" customHeight="1">
      <c r="A106" s="852" t="s">
        <v>278</v>
      </c>
      <c r="B106" s="34"/>
      <c r="C106" s="445">
        <v>167151101</v>
      </c>
      <c r="D106" s="36" t="s">
        <v>162</v>
      </c>
      <c r="E106" s="445" t="s">
        <v>122</v>
      </c>
      <c r="F106" s="548">
        <f>F104</f>
        <v>6.64</v>
      </c>
      <c r="G106" s="132"/>
      <c r="H106" s="853">
        <f>F106*G106</f>
        <v>0</v>
      </c>
      <c r="I106" s="449" t="s">
        <v>738</v>
      </c>
      <c r="J106" s="854"/>
      <c r="K106" s="509"/>
      <c r="L106" s="505"/>
      <c r="M106" s="505"/>
      <c r="N106" s="505"/>
      <c r="O106" s="505"/>
      <c r="P106" s="855"/>
      <c r="Q106" s="505"/>
      <c r="R106" s="505"/>
      <c r="S106" s="855"/>
      <c r="T106" s="505"/>
      <c r="U106" s="505"/>
      <c r="V106" s="505"/>
      <c r="W106" s="505"/>
      <c r="X106" s="505"/>
      <c r="Y106" s="505"/>
      <c r="Z106" s="452"/>
      <c r="AA106" s="452"/>
      <c r="AB106" s="452"/>
      <c r="AC106" s="452"/>
      <c r="AD106" s="452"/>
      <c r="AE106" s="452"/>
      <c r="AF106" s="452"/>
      <c r="AG106" s="452"/>
      <c r="AH106" s="452"/>
      <c r="AI106" s="452"/>
      <c r="AJ106" s="452"/>
      <c r="AK106" s="452"/>
      <c r="AL106" s="452"/>
      <c r="AM106" s="452"/>
      <c r="AN106" s="452"/>
      <c r="AO106" s="452"/>
      <c r="AP106" s="452"/>
      <c r="AQ106" s="452"/>
      <c r="AR106" s="452"/>
      <c r="AS106" s="452"/>
      <c r="AT106" s="452"/>
      <c r="AU106" s="452"/>
      <c r="AV106" s="541"/>
      <c r="AW106" s="541"/>
      <c r="AX106" s="541"/>
      <c r="AY106" s="506"/>
      <c r="AZ106" s="506"/>
      <c r="BA106" s="506"/>
      <c r="BB106" s="506"/>
      <c r="BC106" s="506"/>
      <c r="BD106" s="506"/>
      <c r="BE106" s="506"/>
      <c r="BF106" s="506"/>
      <c r="BG106" s="506"/>
      <c r="BH106" s="506"/>
      <c r="BI106" s="506"/>
      <c r="BJ106" s="506"/>
      <c r="BK106" s="506"/>
      <c r="BL106" s="506"/>
      <c r="BM106" s="506"/>
      <c r="BN106" s="506"/>
      <c r="BO106" s="506"/>
      <c r="BP106" s="506"/>
      <c r="BQ106" s="506"/>
      <c r="BR106" s="506"/>
      <c r="BS106" s="506"/>
      <c r="BT106" s="506"/>
      <c r="BU106" s="506"/>
      <c r="BV106" s="506"/>
      <c r="BW106" s="506"/>
      <c r="BX106" s="506"/>
      <c r="BY106" s="506"/>
      <c r="BZ106" s="506"/>
      <c r="CA106" s="506"/>
      <c r="CB106" s="506"/>
      <c r="CC106" s="506"/>
      <c r="CD106" s="506"/>
      <c r="CE106" s="506"/>
      <c r="CF106" s="506"/>
      <c r="CG106" s="506"/>
      <c r="CH106" s="506"/>
      <c r="CI106" s="506"/>
      <c r="CJ106" s="506"/>
      <c r="CK106" s="506"/>
      <c r="CL106" s="506"/>
      <c r="CM106" s="506"/>
      <c r="CN106" s="506"/>
      <c r="CO106" s="506"/>
      <c r="CP106" s="506"/>
      <c r="CQ106" s="506"/>
      <c r="CR106" s="506"/>
      <c r="CS106" s="506"/>
      <c r="CT106" s="506"/>
      <c r="CU106" s="506"/>
      <c r="CV106" s="506"/>
      <c r="CW106" s="506"/>
      <c r="CX106" s="506"/>
      <c r="CY106" s="506"/>
      <c r="CZ106" s="506"/>
      <c r="DA106" s="506"/>
      <c r="DB106" s="506"/>
      <c r="DC106" s="506"/>
      <c r="DD106" s="506"/>
      <c r="DE106" s="506"/>
      <c r="DF106" s="506"/>
      <c r="DG106" s="506"/>
      <c r="DH106" s="506"/>
      <c r="DI106" s="506"/>
      <c r="DJ106" s="506"/>
      <c r="DK106" s="506"/>
      <c r="DL106" s="506"/>
      <c r="DM106" s="506"/>
      <c r="DN106" s="506"/>
      <c r="DO106" s="506"/>
      <c r="DP106" s="506"/>
      <c r="DQ106" s="506"/>
      <c r="DR106" s="506"/>
      <c r="DS106" s="506"/>
      <c r="DT106" s="506"/>
      <c r="DU106" s="506"/>
      <c r="DV106" s="506"/>
      <c r="DW106" s="506"/>
      <c r="DX106" s="506"/>
      <c r="DY106" s="506"/>
      <c r="DZ106" s="506"/>
      <c r="EA106" s="506"/>
      <c r="EB106" s="506"/>
      <c r="EC106" s="506"/>
      <c r="ED106" s="506"/>
      <c r="EE106" s="506"/>
      <c r="EF106" s="506"/>
      <c r="EG106" s="506"/>
      <c r="EH106" s="506"/>
      <c r="EI106" s="506"/>
      <c r="EJ106" s="506"/>
      <c r="EK106" s="506"/>
      <c r="EL106" s="506"/>
      <c r="EM106" s="506"/>
      <c r="EN106" s="506"/>
      <c r="EO106" s="506"/>
      <c r="EP106" s="506"/>
      <c r="EQ106" s="506"/>
      <c r="ER106" s="506"/>
      <c r="ES106" s="506"/>
      <c r="ET106" s="506"/>
      <c r="EU106" s="506"/>
      <c r="EV106" s="506"/>
      <c r="EW106" s="506"/>
      <c r="EX106" s="506"/>
      <c r="EY106" s="506"/>
      <c r="EZ106" s="506"/>
      <c r="FA106" s="506"/>
      <c r="FB106" s="506"/>
      <c r="FC106" s="506"/>
      <c r="FD106" s="506"/>
      <c r="FE106" s="506"/>
      <c r="FF106" s="506"/>
      <c r="FG106" s="506"/>
      <c r="FH106" s="506"/>
      <c r="FI106" s="506"/>
      <c r="FJ106" s="506"/>
      <c r="FK106" s="506"/>
      <c r="FL106" s="506"/>
      <c r="FM106" s="506"/>
      <c r="FN106" s="506"/>
      <c r="FO106" s="506"/>
      <c r="FP106" s="506"/>
      <c r="FQ106" s="506"/>
      <c r="FR106" s="506"/>
      <c r="FS106" s="506"/>
      <c r="FT106" s="506"/>
      <c r="FU106" s="506"/>
      <c r="FV106" s="506"/>
      <c r="FW106" s="506"/>
      <c r="FX106" s="506"/>
      <c r="FY106" s="506"/>
      <c r="FZ106" s="506"/>
      <c r="GA106" s="506"/>
      <c r="GB106" s="506"/>
      <c r="GC106" s="506"/>
      <c r="GD106" s="506"/>
      <c r="GE106" s="506"/>
      <c r="GF106" s="506"/>
      <c r="GG106" s="506"/>
      <c r="GH106" s="506"/>
      <c r="GI106" s="506"/>
      <c r="GJ106" s="506"/>
      <c r="GK106" s="506"/>
      <c r="GL106" s="506"/>
      <c r="GM106" s="506"/>
      <c r="GN106" s="506"/>
      <c r="GO106" s="506"/>
      <c r="GP106" s="506"/>
      <c r="GQ106" s="506"/>
      <c r="GR106" s="506"/>
      <c r="GS106" s="506"/>
      <c r="GT106" s="506"/>
      <c r="GU106" s="506"/>
      <c r="GV106" s="506"/>
      <c r="GW106" s="506"/>
      <c r="GX106" s="506"/>
      <c r="GY106" s="506"/>
      <c r="GZ106" s="506"/>
      <c r="HA106" s="506"/>
      <c r="HB106" s="506"/>
      <c r="HC106" s="506"/>
      <c r="HD106" s="506"/>
      <c r="HE106" s="506"/>
      <c r="HF106" s="506"/>
      <c r="HG106" s="506"/>
      <c r="HH106" s="506"/>
      <c r="HI106" s="506"/>
      <c r="HJ106" s="506"/>
      <c r="HK106" s="506"/>
      <c r="HL106" s="506"/>
      <c r="HM106" s="506"/>
      <c r="HN106" s="506"/>
      <c r="HO106" s="506"/>
      <c r="HP106" s="506"/>
      <c r="HQ106" s="506"/>
      <c r="HR106" s="506"/>
      <c r="HS106" s="506"/>
      <c r="HT106" s="506"/>
      <c r="HU106" s="506"/>
      <c r="HV106" s="506"/>
      <c r="HW106" s="506"/>
      <c r="HX106" s="506"/>
      <c r="HY106" s="506"/>
      <c r="HZ106" s="506"/>
      <c r="IA106" s="506"/>
      <c r="IB106" s="506"/>
      <c r="IC106" s="506"/>
      <c r="ID106" s="506"/>
      <c r="IE106" s="506"/>
      <c r="IF106" s="506"/>
      <c r="IG106" s="506"/>
      <c r="IH106" s="506"/>
      <c r="II106" s="506"/>
      <c r="IJ106" s="506"/>
      <c r="IK106" s="506"/>
      <c r="IL106" s="506"/>
      <c r="IM106" s="506"/>
      <c r="IN106" s="506"/>
      <c r="IO106" s="506"/>
      <c r="IP106" s="506"/>
      <c r="IQ106" s="506"/>
      <c r="IR106" s="506"/>
      <c r="IS106" s="506"/>
      <c r="IT106" s="506"/>
      <c r="IU106" s="506"/>
      <c r="IV106" s="506"/>
    </row>
    <row r="107" spans="1:256" s="508" customFormat="1" ht="27" customHeight="1">
      <c r="A107" s="852" t="s">
        <v>279</v>
      </c>
      <c r="B107" s="34"/>
      <c r="C107" s="445">
        <v>162751113</v>
      </c>
      <c r="D107" s="36" t="s">
        <v>163</v>
      </c>
      <c r="E107" s="445" t="s">
        <v>122</v>
      </c>
      <c r="F107" s="548">
        <f>F106</f>
        <v>6.64</v>
      </c>
      <c r="G107" s="132"/>
      <c r="H107" s="853">
        <f>F107*G107</f>
        <v>0</v>
      </c>
      <c r="I107" s="449" t="s">
        <v>738</v>
      </c>
      <c r="J107" s="856"/>
      <c r="K107" s="857"/>
      <c r="L107" s="661"/>
      <c r="M107" s="661"/>
      <c r="N107" s="661"/>
      <c r="O107" s="661"/>
      <c r="P107" s="661"/>
      <c r="Q107" s="661"/>
      <c r="R107" s="661"/>
      <c r="S107" s="858"/>
      <c r="T107" s="857"/>
      <c r="U107" s="505"/>
      <c r="V107" s="505"/>
      <c r="W107" s="505"/>
      <c r="X107" s="505"/>
      <c r="Y107" s="505"/>
      <c r="Z107" s="452"/>
      <c r="AA107" s="452"/>
      <c r="AB107" s="452"/>
      <c r="AC107" s="452"/>
      <c r="AD107" s="452"/>
      <c r="AE107" s="452"/>
      <c r="AF107" s="452"/>
      <c r="AG107" s="452"/>
      <c r="AH107" s="452"/>
      <c r="AI107" s="452"/>
      <c r="AJ107" s="452"/>
      <c r="AK107" s="452"/>
      <c r="AL107" s="452"/>
      <c r="AM107" s="452"/>
      <c r="AN107" s="452"/>
      <c r="AO107" s="452"/>
      <c r="AP107" s="452"/>
      <c r="AQ107" s="452"/>
      <c r="AR107" s="452"/>
      <c r="AS107" s="452"/>
      <c r="AT107" s="452"/>
      <c r="AU107" s="452"/>
      <c r="AV107" s="541"/>
      <c r="AW107" s="541"/>
      <c r="AX107" s="541"/>
      <c r="AY107" s="506"/>
      <c r="AZ107" s="506"/>
      <c r="BA107" s="506"/>
      <c r="BB107" s="506"/>
      <c r="BC107" s="506"/>
      <c r="BD107" s="506"/>
      <c r="BE107" s="506"/>
      <c r="BF107" s="506"/>
      <c r="BG107" s="506"/>
      <c r="BH107" s="506"/>
      <c r="BI107" s="506"/>
      <c r="BJ107" s="506"/>
      <c r="BK107" s="506"/>
      <c r="BL107" s="506"/>
      <c r="BM107" s="506"/>
      <c r="BN107" s="506"/>
      <c r="BO107" s="506"/>
      <c r="BP107" s="506"/>
      <c r="BQ107" s="506"/>
      <c r="BR107" s="506"/>
      <c r="BS107" s="506"/>
      <c r="BT107" s="506"/>
      <c r="BU107" s="506"/>
      <c r="BV107" s="506"/>
      <c r="BW107" s="506"/>
      <c r="BX107" s="506"/>
      <c r="BY107" s="506"/>
      <c r="BZ107" s="506"/>
      <c r="CA107" s="506"/>
      <c r="CB107" s="506"/>
      <c r="CC107" s="506"/>
      <c r="CD107" s="506"/>
      <c r="CE107" s="506"/>
      <c r="CF107" s="506"/>
      <c r="CG107" s="506"/>
      <c r="CH107" s="506"/>
      <c r="CI107" s="506"/>
      <c r="CJ107" s="506"/>
      <c r="CK107" s="506"/>
      <c r="CL107" s="506"/>
      <c r="CM107" s="506"/>
      <c r="CN107" s="506"/>
      <c r="CO107" s="506"/>
      <c r="CP107" s="506"/>
      <c r="CQ107" s="506"/>
      <c r="CR107" s="506"/>
      <c r="CS107" s="506"/>
      <c r="CT107" s="506"/>
      <c r="CU107" s="506"/>
      <c r="CV107" s="506"/>
      <c r="CW107" s="506"/>
      <c r="CX107" s="506"/>
      <c r="CY107" s="506"/>
      <c r="CZ107" s="506"/>
      <c r="DA107" s="506"/>
      <c r="DB107" s="506"/>
      <c r="DC107" s="506"/>
      <c r="DD107" s="506"/>
      <c r="DE107" s="506"/>
      <c r="DF107" s="506"/>
      <c r="DG107" s="506"/>
      <c r="DH107" s="506"/>
      <c r="DI107" s="506"/>
      <c r="DJ107" s="506"/>
      <c r="DK107" s="506"/>
      <c r="DL107" s="506"/>
      <c r="DM107" s="506"/>
      <c r="DN107" s="506"/>
      <c r="DO107" s="506"/>
      <c r="DP107" s="506"/>
      <c r="DQ107" s="506"/>
      <c r="DR107" s="506"/>
      <c r="DS107" s="506"/>
      <c r="DT107" s="506"/>
      <c r="DU107" s="506"/>
      <c r="DV107" s="506"/>
      <c r="DW107" s="506"/>
      <c r="DX107" s="506"/>
      <c r="DY107" s="506"/>
      <c r="DZ107" s="506"/>
      <c r="EA107" s="506"/>
      <c r="EB107" s="506"/>
      <c r="EC107" s="506"/>
      <c r="ED107" s="506"/>
      <c r="EE107" s="506"/>
      <c r="EF107" s="506"/>
      <c r="EG107" s="506"/>
      <c r="EH107" s="506"/>
      <c r="EI107" s="506"/>
      <c r="EJ107" s="506"/>
      <c r="EK107" s="506"/>
      <c r="EL107" s="506"/>
      <c r="EM107" s="506"/>
      <c r="EN107" s="506"/>
      <c r="EO107" s="506"/>
      <c r="EP107" s="506"/>
      <c r="EQ107" s="506"/>
      <c r="ER107" s="506"/>
      <c r="ES107" s="506"/>
      <c r="ET107" s="506"/>
      <c r="EU107" s="506"/>
      <c r="EV107" s="506"/>
      <c r="EW107" s="506"/>
      <c r="EX107" s="506"/>
      <c r="EY107" s="506"/>
      <c r="EZ107" s="506"/>
      <c r="FA107" s="506"/>
      <c r="FB107" s="506"/>
      <c r="FC107" s="506"/>
      <c r="FD107" s="506"/>
      <c r="FE107" s="506"/>
      <c r="FF107" s="506"/>
      <c r="FG107" s="506"/>
      <c r="FH107" s="506"/>
      <c r="FI107" s="506"/>
      <c r="FJ107" s="506"/>
      <c r="FK107" s="506"/>
      <c r="FL107" s="506"/>
      <c r="FM107" s="506"/>
      <c r="FN107" s="506"/>
      <c r="FO107" s="506"/>
      <c r="FP107" s="506"/>
      <c r="FQ107" s="506"/>
      <c r="FR107" s="506"/>
      <c r="FS107" s="506"/>
      <c r="FT107" s="506"/>
      <c r="FU107" s="506"/>
      <c r="FV107" s="506"/>
      <c r="FW107" s="506"/>
      <c r="FX107" s="506"/>
      <c r="FY107" s="506"/>
      <c r="FZ107" s="506"/>
      <c r="GA107" s="506"/>
      <c r="GB107" s="506"/>
      <c r="GC107" s="506"/>
      <c r="GD107" s="506"/>
      <c r="GE107" s="506"/>
      <c r="GF107" s="506"/>
      <c r="GG107" s="506"/>
      <c r="GH107" s="506"/>
      <c r="GI107" s="506"/>
      <c r="GJ107" s="506"/>
      <c r="GK107" s="506"/>
      <c r="GL107" s="506"/>
      <c r="GM107" s="506"/>
      <c r="GN107" s="506"/>
      <c r="GO107" s="506"/>
      <c r="GP107" s="506"/>
      <c r="GQ107" s="506"/>
      <c r="GR107" s="506"/>
      <c r="GS107" s="506"/>
      <c r="GT107" s="506"/>
      <c r="GU107" s="506"/>
      <c r="GV107" s="506"/>
      <c r="GW107" s="506"/>
      <c r="GX107" s="506"/>
      <c r="GY107" s="506"/>
      <c r="GZ107" s="506"/>
      <c r="HA107" s="506"/>
      <c r="HB107" s="506"/>
      <c r="HC107" s="506"/>
      <c r="HD107" s="506"/>
      <c r="HE107" s="506"/>
      <c r="HF107" s="506"/>
      <c r="HG107" s="506"/>
      <c r="HH107" s="506"/>
      <c r="HI107" s="506"/>
      <c r="HJ107" s="506"/>
      <c r="HK107" s="506"/>
      <c r="HL107" s="506"/>
      <c r="HM107" s="506"/>
      <c r="HN107" s="506"/>
      <c r="HO107" s="506"/>
      <c r="HP107" s="506"/>
      <c r="HQ107" s="506"/>
      <c r="HR107" s="506"/>
      <c r="HS107" s="506"/>
      <c r="HT107" s="506"/>
      <c r="HU107" s="506"/>
      <c r="HV107" s="506"/>
      <c r="HW107" s="506"/>
      <c r="HX107" s="506"/>
      <c r="HY107" s="506"/>
      <c r="HZ107" s="506"/>
      <c r="IA107" s="506"/>
      <c r="IB107" s="506"/>
      <c r="IC107" s="506"/>
      <c r="ID107" s="506"/>
      <c r="IE107" s="506"/>
      <c r="IF107" s="506"/>
      <c r="IG107" s="506"/>
      <c r="IH107" s="506"/>
      <c r="II107" s="506"/>
      <c r="IJ107" s="506"/>
      <c r="IK107" s="506"/>
      <c r="IL107" s="506"/>
      <c r="IM107" s="506"/>
      <c r="IN107" s="506"/>
      <c r="IO107" s="506"/>
      <c r="IP107" s="506"/>
      <c r="IQ107" s="506"/>
      <c r="IR107" s="506"/>
      <c r="IS107" s="506"/>
      <c r="IT107" s="506"/>
      <c r="IU107" s="506"/>
      <c r="IV107" s="506"/>
    </row>
    <row r="108" spans="1:256" s="508" customFormat="1" ht="13.5" customHeight="1">
      <c r="A108" s="852" t="s">
        <v>280</v>
      </c>
      <c r="B108" s="34"/>
      <c r="C108" s="445">
        <v>171251201</v>
      </c>
      <c r="D108" s="36" t="s">
        <v>164</v>
      </c>
      <c r="E108" s="445" t="s">
        <v>122</v>
      </c>
      <c r="F108" s="548">
        <f>F107</f>
        <v>6.64</v>
      </c>
      <c r="G108" s="132"/>
      <c r="H108" s="853">
        <f>F108*G108</f>
        <v>0</v>
      </c>
      <c r="I108" s="449" t="s">
        <v>738</v>
      </c>
      <c r="J108" s="509"/>
      <c r="K108" s="509"/>
      <c r="L108" s="505"/>
      <c r="M108" s="505"/>
      <c r="N108" s="505"/>
      <c r="O108" s="505"/>
      <c r="P108" s="505"/>
      <c r="Q108" s="505"/>
      <c r="R108" s="505"/>
      <c r="S108" s="855"/>
      <c r="T108" s="505"/>
      <c r="U108" s="505"/>
      <c r="V108" s="505"/>
      <c r="W108" s="505"/>
      <c r="X108" s="505"/>
      <c r="Y108" s="505"/>
      <c r="Z108" s="452"/>
      <c r="AA108" s="452"/>
      <c r="AB108" s="452"/>
      <c r="AC108" s="452"/>
      <c r="AD108" s="452"/>
      <c r="AE108" s="452"/>
      <c r="AF108" s="452"/>
      <c r="AG108" s="452"/>
      <c r="AH108" s="452"/>
      <c r="AI108" s="452"/>
      <c r="AJ108" s="452"/>
      <c r="AK108" s="452"/>
      <c r="AL108" s="452"/>
      <c r="AM108" s="452"/>
      <c r="AN108" s="452"/>
      <c r="AO108" s="452"/>
      <c r="AP108" s="452"/>
      <c r="AQ108" s="452"/>
      <c r="AR108" s="452"/>
      <c r="AS108" s="452"/>
      <c r="AT108" s="452"/>
      <c r="AU108" s="452"/>
      <c r="AV108" s="541"/>
      <c r="AW108" s="541"/>
      <c r="AX108" s="541"/>
      <c r="AY108" s="506"/>
      <c r="AZ108" s="506"/>
      <c r="BA108" s="506"/>
      <c r="BB108" s="506"/>
      <c r="BC108" s="506"/>
      <c r="BD108" s="506"/>
      <c r="BE108" s="506"/>
      <c r="BF108" s="506"/>
      <c r="BG108" s="506"/>
      <c r="BH108" s="506"/>
      <c r="BI108" s="506"/>
      <c r="BJ108" s="506"/>
      <c r="BK108" s="506"/>
      <c r="BL108" s="506"/>
      <c r="BM108" s="506"/>
      <c r="BN108" s="506"/>
      <c r="BO108" s="506"/>
      <c r="BP108" s="506"/>
      <c r="BQ108" s="506"/>
      <c r="BR108" s="506"/>
      <c r="BS108" s="506"/>
      <c r="BT108" s="506"/>
      <c r="BU108" s="506"/>
      <c r="BV108" s="506"/>
      <c r="BW108" s="506"/>
      <c r="BX108" s="506"/>
      <c r="BY108" s="506"/>
      <c r="BZ108" s="506"/>
      <c r="CA108" s="506"/>
      <c r="CB108" s="506"/>
      <c r="CC108" s="506"/>
      <c r="CD108" s="506"/>
      <c r="CE108" s="506"/>
      <c r="CF108" s="506"/>
      <c r="CG108" s="506"/>
      <c r="CH108" s="506"/>
      <c r="CI108" s="506"/>
      <c r="CJ108" s="506"/>
      <c r="CK108" s="506"/>
      <c r="CL108" s="506"/>
      <c r="CM108" s="506"/>
      <c r="CN108" s="506"/>
      <c r="CO108" s="506"/>
      <c r="CP108" s="506"/>
      <c r="CQ108" s="506"/>
      <c r="CR108" s="506"/>
      <c r="CS108" s="506"/>
      <c r="CT108" s="506"/>
      <c r="CU108" s="506"/>
      <c r="CV108" s="506"/>
      <c r="CW108" s="506"/>
      <c r="CX108" s="506"/>
      <c r="CY108" s="506"/>
      <c r="CZ108" s="506"/>
      <c r="DA108" s="506"/>
      <c r="DB108" s="506"/>
      <c r="DC108" s="506"/>
      <c r="DD108" s="506"/>
      <c r="DE108" s="506"/>
      <c r="DF108" s="506"/>
      <c r="DG108" s="506"/>
      <c r="DH108" s="506"/>
      <c r="DI108" s="506"/>
      <c r="DJ108" s="506"/>
      <c r="DK108" s="506"/>
      <c r="DL108" s="506"/>
      <c r="DM108" s="506"/>
      <c r="DN108" s="506"/>
      <c r="DO108" s="506"/>
      <c r="DP108" s="506"/>
      <c r="DQ108" s="506"/>
      <c r="DR108" s="506"/>
      <c r="DS108" s="506"/>
      <c r="DT108" s="506"/>
      <c r="DU108" s="506"/>
      <c r="DV108" s="506"/>
      <c r="DW108" s="506"/>
      <c r="DX108" s="506"/>
      <c r="DY108" s="506"/>
      <c r="DZ108" s="506"/>
      <c r="EA108" s="506"/>
      <c r="EB108" s="506"/>
      <c r="EC108" s="506"/>
      <c r="ED108" s="506"/>
      <c r="EE108" s="506"/>
      <c r="EF108" s="506"/>
      <c r="EG108" s="506"/>
      <c r="EH108" s="506"/>
      <c r="EI108" s="506"/>
      <c r="EJ108" s="506"/>
      <c r="EK108" s="506"/>
      <c r="EL108" s="506"/>
      <c r="EM108" s="506"/>
      <c r="EN108" s="506"/>
      <c r="EO108" s="506"/>
      <c r="EP108" s="506"/>
      <c r="EQ108" s="506"/>
      <c r="ER108" s="506"/>
      <c r="ES108" s="506"/>
      <c r="ET108" s="506"/>
      <c r="EU108" s="506"/>
      <c r="EV108" s="506"/>
      <c r="EW108" s="506"/>
      <c r="EX108" s="506"/>
      <c r="EY108" s="506"/>
      <c r="EZ108" s="506"/>
      <c r="FA108" s="506"/>
      <c r="FB108" s="506"/>
      <c r="FC108" s="506"/>
      <c r="FD108" s="506"/>
      <c r="FE108" s="506"/>
      <c r="FF108" s="506"/>
      <c r="FG108" s="506"/>
      <c r="FH108" s="506"/>
      <c r="FI108" s="506"/>
      <c r="FJ108" s="506"/>
      <c r="FK108" s="506"/>
      <c r="FL108" s="506"/>
      <c r="FM108" s="506"/>
      <c r="FN108" s="506"/>
      <c r="FO108" s="506"/>
      <c r="FP108" s="506"/>
      <c r="FQ108" s="506"/>
      <c r="FR108" s="506"/>
      <c r="FS108" s="506"/>
      <c r="FT108" s="506"/>
      <c r="FU108" s="506"/>
      <c r="FV108" s="506"/>
      <c r="FW108" s="506"/>
      <c r="FX108" s="506"/>
      <c r="FY108" s="506"/>
      <c r="FZ108" s="506"/>
      <c r="GA108" s="506"/>
      <c r="GB108" s="506"/>
      <c r="GC108" s="506"/>
      <c r="GD108" s="506"/>
      <c r="GE108" s="506"/>
      <c r="GF108" s="506"/>
      <c r="GG108" s="506"/>
      <c r="GH108" s="506"/>
      <c r="GI108" s="506"/>
      <c r="GJ108" s="506"/>
      <c r="GK108" s="506"/>
      <c r="GL108" s="506"/>
      <c r="GM108" s="506"/>
      <c r="GN108" s="506"/>
      <c r="GO108" s="506"/>
      <c r="GP108" s="506"/>
      <c r="GQ108" s="506"/>
      <c r="GR108" s="506"/>
      <c r="GS108" s="506"/>
      <c r="GT108" s="506"/>
      <c r="GU108" s="506"/>
      <c r="GV108" s="506"/>
      <c r="GW108" s="506"/>
      <c r="GX108" s="506"/>
      <c r="GY108" s="506"/>
      <c r="GZ108" s="506"/>
      <c r="HA108" s="506"/>
      <c r="HB108" s="506"/>
      <c r="HC108" s="506"/>
      <c r="HD108" s="506"/>
      <c r="HE108" s="506"/>
      <c r="HF108" s="506"/>
      <c r="HG108" s="506"/>
      <c r="HH108" s="506"/>
      <c r="HI108" s="506"/>
      <c r="HJ108" s="506"/>
      <c r="HK108" s="506"/>
      <c r="HL108" s="506"/>
      <c r="HM108" s="506"/>
      <c r="HN108" s="506"/>
      <c r="HO108" s="506"/>
      <c r="HP108" s="506"/>
      <c r="HQ108" s="506"/>
      <c r="HR108" s="506"/>
      <c r="HS108" s="506"/>
      <c r="HT108" s="506"/>
      <c r="HU108" s="506"/>
      <c r="HV108" s="506"/>
      <c r="HW108" s="506"/>
      <c r="HX108" s="506"/>
      <c r="HY108" s="506"/>
      <c r="HZ108" s="506"/>
      <c r="IA108" s="506"/>
      <c r="IB108" s="506"/>
      <c r="IC108" s="506"/>
      <c r="ID108" s="506"/>
      <c r="IE108" s="506"/>
      <c r="IF108" s="506"/>
      <c r="IG108" s="506"/>
      <c r="IH108" s="506"/>
      <c r="II108" s="506"/>
      <c r="IJ108" s="506"/>
      <c r="IK108" s="506"/>
      <c r="IL108" s="506"/>
      <c r="IM108" s="506"/>
      <c r="IN108" s="506"/>
      <c r="IO108" s="506"/>
      <c r="IP108" s="506"/>
      <c r="IQ108" s="506"/>
      <c r="IR108" s="506"/>
      <c r="IS108" s="506"/>
      <c r="IT108" s="506"/>
      <c r="IU108" s="506"/>
      <c r="IV108" s="506"/>
    </row>
    <row r="109" spans="1:256" s="508" customFormat="1" ht="13.5" customHeight="1">
      <c r="A109" s="859" t="s">
        <v>281</v>
      </c>
      <c r="B109" s="680"/>
      <c r="C109" s="445">
        <v>171201221</v>
      </c>
      <c r="D109" s="358" t="s">
        <v>140</v>
      </c>
      <c r="E109" s="860" t="s">
        <v>125</v>
      </c>
      <c r="F109" s="682">
        <f>F108*2</f>
        <v>13.28</v>
      </c>
      <c r="G109" s="985"/>
      <c r="H109" s="861">
        <f>F109*G109</f>
        <v>0</v>
      </c>
      <c r="I109" s="449" t="s">
        <v>738</v>
      </c>
      <c r="J109" s="509"/>
      <c r="K109" s="509"/>
      <c r="L109" s="505"/>
      <c r="M109" s="505"/>
      <c r="N109" s="505"/>
      <c r="O109" s="505"/>
      <c r="P109" s="505"/>
      <c r="Q109" s="505"/>
      <c r="R109" s="505"/>
      <c r="S109" s="855"/>
      <c r="T109" s="612"/>
      <c r="U109" s="612"/>
      <c r="V109" s="612"/>
      <c r="W109" s="612"/>
      <c r="X109" s="612"/>
      <c r="Y109" s="612"/>
      <c r="Z109" s="452"/>
      <c r="AA109" s="452"/>
      <c r="AB109" s="452"/>
      <c r="AC109" s="452"/>
      <c r="AD109" s="452"/>
      <c r="AE109" s="452"/>
      <c r="AF109" s="452"/>
      <c r="AG109" s="452"/>
      <c r="AH109" s="452"/>
      <c r="AI109" s="452"/>
      <c r="AJ109" s="452"/>
      <c r="AK109" s="452"/>
      <c r="AL109" s="452"/>
      <c r="AM109" s="452"/>
      <c r="AN109" s="452"/>
      <c r="AO109" s="452"/>
      <c r="AP109" s="452"/>
      <c r="AQ109" s="452"/>
      <c r="AR109" s="452"/>
      <c r="AS109" s="452"/>
      <c r="AT109" s="452"/>
      <c r="AU109" s="452"/>
      <c r="AV109" s="541"/>
      <c r="AW109" s="541"/>
      <c r="AX109" s="541"/>
      <c r="AY109" s="862"/>
      <c r="AZ109" s="862"/>
      <c r="BA109" s="862"/>
      <c r="BB109" s="862"/>
      <c r="BC109" s="862"/>
      <c r="BD109" s="862"/>
      <c r="BE109" s="862"/>
      <c r="BF109" s="862"/>
      <c r="BG109" s="862"/>
      <c r="BH109" s="862"/>
      <c r="BI109" s="862"/>
      <c r="BJ109" s="862"/>
      <c r="BK109" s="862"/>
      <c r="BL109" s="862"/>
      <c r="BM109" s="862"/>
      <c r="BN109" s="862"/>
      <c r="BO109" s="862"/>
      <c r="BP109" s="862"/>
      <c r="BQ109" s="862"/>
      <c r="BR109" s="862"/>
      <c r="BS109" s="862"/>
      <c r="BT109" s="862"/>
      <c r="BU109" s="862"/>
      <c r="BV109" s="862"/>
      <c r="BW109" s="862"/>
      <c r="BX109" s="862"/>
      <c r="BY109" s="862"/>
      <c r="BZ109" s="862"/>
      <c r="CA109" s="862"/>
      <c r="CB109" s="862"/>
      <c r="CC109" s="862"/>
      <c r="CD109" s="862"/>
      <c r="CE109" s="862"/>
      <c r="CF109" s="862"/>
      <c r="CG109" s="862"/>
      <c r="CH109" s="862"/>
      <c r="CI109" s="862"/>
      <c r="CJ109" s="862"/>
      <c r="CK109" s="862"/>
      <c r="CL109" s="862"/>
      <c r="CM109" s="862"/>
      <c r="CN109" s="862"/>
      <c r="CO109" s="862"/>
      <c r="CP109" s="862"/>
      <c r="CQ109" s="862"/>
      <c r="CR109" s="862"/>
      <c r="CS109" s="862"/>
      <c r="CT109" s="862"/>
      <c r="CU109" s="862"/>
      <c r="CV109" s="862"/>
      <c r="CW109" s="862"/>
      <c r="CX109" s="862"/>
      <c r="CY109" s="862"/>
      <c r="CZ109" s="862"/>
      <c r="DA109" s="862"/>
      <c r="DB109" s="862"/>
      <c r="DC109" s="862"/>
      <c r="DD109" s="862"/>
      <c r="DE109" s="862"/>
      <c r="DF109" s="862"/>
      <c r="DG109" s="862"/>
      <c r="DH109" s="862"/>
      <c r="DI109" s="862"/>
      <c r="DJ109" s="862"/>
      <c r="DK109" s="862"/>
      <c r="DL109" s="862"/>
      <c r="DM109" s="862"/>
      <c r="DN109" s="862"/>
      <c r="DO109" s="862"/>
      <c r="DP109" s="862"/>
      <c r="DQ109" s="862"/>
      <c r="DR109" s="862"/>
      <c r="DS109" s="862"/>
      <c r="DT109" s="862"/>
      <c r="DU109" s="862"/>
      <c r="DV109" s="862"/>
      <c r="DW109" s="862"/>
      <c r="DX109" s="862"/>
      <c r="DY109" s="862"/>
      <c r="DZ109" s="862"/>
      <c r="EA109" s="862"/>
      <c r="EB109" s="862"/>
      <c r="EC109" s="862"/>
      <c r="ED109" s="862"/>
      <c r="EE109" s="862"/>
      <c r="EF109" s="862"/>
      <c r="EG109" s="862"/>
      <c r="EH109" s="862"/>
      <c r="EI109" s="862"/>
      <c r="EJ109" s="862"/>
      <c r="EK109" s="862"/>
      <c r="EL109" s="862"/>
      <c r="EM109" s="862"/>
      <c r="EN109" s="862"/>
      <c r="EO109" s="862"/>
      <c r="EP109" s="862"/>
      <c r="EQ109" s="862"/>
      <c r="ER109" s="862"/>
      <c r="ES109" s="862"/>
      <c r="ET109" s="862"/>
      <c r="EU109" s="862"/>
      <c r="EV109" s="862"/>
      <c r="EW109" s="862"/>
      <c r="EX109" s="862"/>
      <c r="EY109" s="862"/>
      <c r="EZ109" s="862"/>
      <c r="FA109" s="862"/>
      <c r="FB109" s="862"/>
      <c r="FC109" s="862"/>
      <c r="FD109" s="862"/>
      <c r="FE109" s="862"/>
      <c r="FF109" s="862"/>
      <c r="FG109" s="862"/>
      <c r="FH109" s="862"/>
      <c r="FI109" s="862"/>
      <c r="FJ109" s="862"/>
      <c r="FK109" s="862"/>
      <c r="FL109" s="862"/>
      <c r="FM109" s="862"/>
      <c r="FN109" s="862"/>
      <c r="FO109" s="862"/>
      <c r="FP109" s="862"/>
      <c r="FQ109" s="862"/>
      <c r="FR109" s="862"/>
      <c r="FS109" s="862"/>
      <c r="FT109" s="862"/>
      <c r="FU109" s="862"/>
      <c r="FV109" s="862"/>
      <c r="FW109" s="862"/>
      <c r="FX109" s="862"/>
      <c r="FY109" s="862"/>
      <c r="FZ109" s="862"/>
      <c r="GA109" s="862"/>
      <c r="GB109" s="862"/>
      <c r="GC109" s="862"/>
      <c r="GD109" s="862"/>
      <c r="GE109" s="862"/>
      <c r="GF109" s="862"/>
      <c r="GG109" s="862"/>
      <c r="GH109" s="862"/>
      <c r="GI109" s="862"/>
      <c r="GJ109" s="862"/>
      <c r="GK109" s="862"/>
      <c r="GL109" s="862"/>
      <c r="GM109" s="862"/>
      <c r="GN109" s="862"/>
      <c r="GO109" s="862"/>
      <c r="GP109" s="862"/>
      <c r="GQ109" s="862"/>
      <c r="GR109" s="862"/>
      <c r="GS109" s="862"/>
      <c r="GT109" s="862"/>
      <c r="GU109" s="862"/>
      <c r="GV109" s="862"/>
      <c r="GW109" s="862"/>
      <c r="GX109" s="862"/>
      <c r="GY109" s="862"/>
      <c r="GZ109" s="862"/>
      <c r="HA109" s="862"/>
      <c r="HB109" s="862"/>
      <c r="HC109" s="862"/>
      <c r="HD109" s="862"/>
      <c r="HE109" s="862"/>
      <c r="HF109" s="862"/>
      <c r="HG109" s="862"/>
      <c r="HH109" s="862"/>
      <c r="HI109" s="862"/>
      <c r="HJ109" s="862"/>
      <c r="HK109" s="862"/>
      <c r="HL109" s="862"/>
      <c r="HM109" s="862"/>
      <c r="HN109" s="862"/>
      <c r="HO109" s="862"/>
      <c r="HP109" s="862"/>
      <c r="HQ109" s="862"/>
      <c r="HR109" s="862"/>
      <c r="HS109" s="862"/>
      <c r="HT109" s="862"/>
      <c r="HU109" s="862"/>
      <c r="HV109" s="862"/>
      <c r="HW109" s="862"/>
      <c r="HX109" s="862"/>
      <c r="HY109" s="862"/>
      <c r="HZ109" s="862"/>
      <c r="IA109" s="862"/>
      <c r="IB109" s="862"/>
      <c r="IC109" s="862"/>
      <c r="ID109" s="862"/>
      <c r="IE109" s="862"/>
      <c r="IF109" s="862"/>
      <c r="IG109" s="862"/>
      <c r="IH109" s="862"/>
      <c r="II109" s="862"/>
      <c r="IJ109" s="862"/>
      <c r="IK109" s="862"/>
      <c r="IL109" s="862"/>
      <c r="IM109" s="862"/>
      <c r="IN109" s="862"/>
      <c r="IO109" s="862"/>
      <c r="IP109" s="862"/>
      <c r="IQ109" s="862"/>
      <c r="IR109" s="862"/>
      <c r="IS109" s="862"/>
      <c r="IT109" s="862"/>
      <c r="IU109" s="862"/>
      <c r="IV109" s="862"/>
    </row>
    <row r="110" spans="1:256" s="508" customFormat="1" ht="13.5" customHeight="1">
      <c r="A110" s="859"/>
      <c r="B110" s="680"/>
      <c r="C110" s="863"/>
      <c r="D110" s="358" t="s">
        <v>297</v>
      </c>
      <c r="E110" s="860"/>
      <c r="F110" s="682"/>
      <c r="G110" s="861"/>
      <c r="H110" s="861"/>
      <c r="I110" s="864"/>
      <c r="J110" s="509"/>
      <c r="K110" s="509"/>
      <c r="L110" s="505"/>
      <c r="M110" s="505"/>
      <c r="N110" s="505"/>
      <c r="O110" s="505"/>
      <c r="P110" s="505"/>
      <c r="Q110" s="505"/>
      <c r="R110" s="505"/>
      <c r="S110" s="855"/>
      <c r="T110" s="612"/>
      <c r="U110" s="612"/>
      <c r="V110" s="612"/>
      <c r="W110" s="612"/>
      <c r="X110" s="612"/>
      <c r="Y110" s="612"/>
      <c r="Z110" s="452"/>
      <c r="AA110" s="452"/>
      <c r="AB110" s="452"/>
      <c r="AC110" s="452"/>
      <c r="AD110" s="452"/>
      <c r="AE110" s="452"/>
      <c r="AF110" s="452"/>
      <c r="AG110" s="452"/>
      <c r="AH110" s="452"/>
      <c r="AI110" s="452"/>
      <c r="AJ110" s="452"/>
      <c r="AK110" s="452"/>
      <c r="AL110" s="452"/>
      <c r="AM110" s="452"/>
      <c r="AN110" s="452"/>
      <c r="AO110" s="452"/>
      <c r="AP110" s="452"/>
      <c r="AQ110" s="452"/>
      <c r="AR110" s="452"/>
      <c r="AS110" s="452"/>
      <c r="AT110" s="452"/>
      <c r="AU110" s="452"/>
      <c r="AV110" s="541"/>
      <c r="AW110" s="541"/>
      <c r="AX110" s="541"/>
      <c r="AY110" s="862"/>
      <c r="AZ110" s="862"/>
      <c r="BA110" s="862"/>
      <c r="BB110" s="862"/>
      <c r="BC110" s="862"/>
      <c r="BD110" s="862"/>
      <c r="BE110" s="862"/>
      <c r="BF110" s="862"/>
      <c r="BG110" s="862"/>
      <c r="BH110" s="862"/>
      <c r="BI110" s="862"/>
      <c r="BJ110" s="862"/>
      <c r="BK110" s="862"/>
      <c r="BL110" s="862"/>
      <c r="BM110" s="862"/>
      <c r="BN110" s="862"/>
      <c r="BO110" s="862"/>
      <c r="BP110" s="862"/>
      <c r="BQ110" s="862"/>
      <c r="BR110" s="862"/>
      <c r="BS110" s="862"/>
      <c r="BT110" s="862"/>
      <c r="BU110" s="862"/>
      <c r="BV110" s="862"/>
      <c r="BW110" s="862"/>
      <c r="BX110" s="862"/>
      <c r="BY110" s="862"/>
      <c r="BZ110" s="862"/>
      <c r="CA110" s="862"/>
      <c r="CB110" s="862"/>
      <c r="CC110" s="862"/>
      <c r="CD110" s="862"/>
      <c r="CE110" s="862"/>
      <c r="CF110" s="862"/>
      <c r="CG110" s="862"/>
      <c r="CH110" s="862"/>
      <c r="CI110" s="862"/>
      <c r="CJ110" s="862"/>
      <c r="CK110" s="862"/>
      <c r="CL110" s="862"/>
      <c r="CM110" s="862"/>
      <c r="CN110" s="862"/>
      <c r="CO110" s="862"/>
      <c r="CP110" s="862"/>
      <c r="CQ110" s="862"/>
      <c r="CR110" s="862"/>
      <c r="CS110" s="862"/>
      <c r="CT110" s="862"/>
      <c r="CU110" s="862"/>
      <c r="CV110" s="862"/>
      <c r="CW110" s="862"/>
      <c r="CX110" s="862"/>
      <c r="CY110" s="862"/>
      <c r="CZ110" s="862"/>
      <c r="DA110" s="862"/>
      <c r="DB110" s="862"/>
      <c r="DC110" s="862"/>
      <c r="DD110" s="862"/>
      <c r="DE110" s="862"/>
      <c r="DF110" s="862"/>
      <c r="DG110" s="862"/>
      <c r="DH110" s="862"/>
      <c r="DI110" s="862"/>
      <c r="DJ110" s="862"/>
      <c r="DK110" s="862"/>
      <c r="DL110" s="862"/>
      <c r="DM110" s="862"/>
      <c r="DN110" s="862"/>
      <c r="DO110" s="862"/>
      <c r="DP110" s="862"/>
      <c r="DQ110" s="862"/>
      <c r="DR110" s="862"/>
      <c r="DS110" s="862"/>
      <c r="DT110" s="862"/>
      <c r="DU110" s="862"/>
      <c r="DV110" s="862"/>
      <c r="DW110" s="862"/>
      <c r="DX110" s="862"/>
      <c r="DY110" s="862"/>
      <c r="DZ110" s="862"/>
      <c r="EA110" s="862"/>
      <c r="EB110" s="862"/>
      <c r="EC110" s="862"/>
      <c r="ED110" s="862"/>
      <c r="EE110" s="862"/>
      <c r="EF110" s="862"/>
      <c r="EG110" s="862"/>
      <c r="EH110" s="862"/>
      <c r="EI110" s="862"/>
      <c r="EJ110" s="862"/>
      <c r="EK110" s="862"/>
      <c r="EL110" s="862"/>
      <c r="EM110" s="862"/>
      <c r="EN110" s="862"/>
      <c r="EO110" s="862"/>
      <c r="EP110" s="862"/>
      <c r="EQ110" s="862"/>
      <c r="ER110" s="862"/>
      <c r="ES110" s="862"/>
      <c r="ET110" s="862"/>
      <c r="EU110" s="862"/>
      <c r="EV110" s="862"/>
      <c r="EW110" s="862"/>
      <c r="EX110" s="862"/>
      <c r="EY110" s="862"/>
      <c r="EZ110" s="862"/>
      <c r="FA110" s="862"/>
      <c r="FB110" s="862"/>
      <c r="FC110" s="862"/>
      <c r="FD110" s="862"/>
      <c r="FE110" s="862"/>
      <c r="FF110" s="862"/>
      <c r="FG110" s="862"/>
      <c r="FH110" s="862"/>
      <c r="FI110" s="862"/>
      <c r="FJ110" s="862"/>
      <c r="FK110" s="862"/>
      <c r="FL110" s="862"/>
      <c r="FM110" s="862"/>
      <c r="FN110" s="862"/>
      <c r="FO110" s="862"/>
      <c r="FP110" s="862"/>
      <c r="FQ110" s="862"/>
      <c r="FR110" s="862"/>
      <c r="FS110" s="862"/>
      <c r="FT110" s="862"/>
      <c r="FU110" s="862"/>
      <c r="FV110" s="862"/>
      <c r="FW110" s="862"/>
      <c r="FX110" s="862"/>
      <c r="FY110" s="862"/>
      <c r="FZ110" s="862"/>
      <c r="GA110" s="862"/>
      <c r="GB110" s="862"/>
      <c r="GC110" s="862"/>
      <c r="GD110" s="862"/>
      <c r="GE110" s="862"/>
      <c r="GF110" s="862"/>
      <c r="GG110" s="862"/>
      <c r="GH110" s="862"/>
      <c r="GI110" s="862"/>
      <c r="GJ110" s="862"/>
      <c r="GK110" s="862"/>
      <c r="GL110" s="862"/>
      <c r="GM110" s="862"/>
      <c r="GN110" s="862"/>
      <c r="GO110" s="862"/>
      <c r="GP110" s="862"/>
      <c r="GQ110" s="862"/>
      <c r="GR110" s="862"/>
      <c r="GS110" s="862"/>
      <c r="GT110" s="862"/>
      <c r="GU110" s="862"/>
      <c r="GV110" s="862"/>
      <c r="GW110" s="862"/>
      <c r="GX110" s="862"/>
      <c r="GY110" s="862"/>
      <c r="GZ110" s="862"/>
      <c r="HA110" s="862"/>
      <c r="HB110" s="862"/>
      <c r="HC110" s="862"/>
      <c r="HD110" s="862"/>
      <c r="HE110" s="862"/>
      <c r="HF110" s="862"/>
      <c r="HG110" s="862"/>
      <c r="HH110" s="862"/>
      <c r="HI110" s="862"/>
      <c r="HJ110" s="862"/>
      <c r="HK110" s="862"/>
      <c r="HL110" s="862"/>
      <c r="HM110" s="862"/>
      <c r="HN110" s="862"/>
      <c r="HO110" s="862"/>
      <c r="HP110" s="862"/>
      <c r="HQ110" s="862"/>
      <c r="HR110" s="862"/>
      <c r="HS110" s="862"/>
      <c r="HT110" s="862"/>
      <c r="HU110" s="862"/>
      <c r="HV110" s="862"/>
      <c r="HW110" s="862"/>
      <c r="HX110" s="862"/>
      <c r="HY110" s="862"/>
      <c r="HZ110" s="862"/>
      <c r="IA110" s="862"/>
      <c r="IB110" s="862"/>
      <c r="IC110" s="862"/>
      <c r="ID110" s="862"/>
      <c r="IE110" s="862"/>
      <c r="IF110" s="862"/>
      <c r="IG110" s="862"/>
      <c r="IH110" s="862"/>
      <c r="II110" s="862"/>
      <c r="IJ110" s="862"/>
      <c r="IK110" s="862"/>
      <c r="IL110" s="862"/>
      <c r="IM110" s="862"/>
      <c r="IN110" s="862"/>
      <c r="IO110" s="862"/>
      <c r="IP110" s="862"/>
      <c r="IQ110" s="862"/>
      <c r="IR110" s="862"/>
      <c r="IS110" s="862"/>
      <c r="IT110" s="862"/>
      <c r="IU110" s="862"/>
      <c r="IV110" s="862"/>
    </row>
    <row r="111" spans="1:256" s="508" customFormat="1" ht="54" customHeight="1">
      <c r="A111" s="849"/>
      <c r="B111" s="850"/>
      <c r="C111" s="851"/>
      <c r="D111" s="865" t="s">
        <v>210</v>
      </c>
      <c r="E111" s="36"/>
      <c r="F111" s="548"/>
      <c r="G111" s="848"/>
      <c r="H111" s="848"/>
      <c r="I111" s="697"/>
      <c r="J111" s="637"/>
      <c r="K111" s="638"/>
      <c r="L111" s="639"/>
      <c r="M111" s="640"/>
      <c r="N111" s="641"/>
      <c r="O111" s="642"/>
      <c r="P111" s="641"/>
      <c r="Q111" s="643"/>
      <c r="R111" s="644"/>
      <c r="S111" s="645"/>
      <c r="T111" s="646"/>
      <c r="U111" s="646"/>
      <c r="V111" s="646"/>
      <c r="W111" s="646"/>
      <c r="X111" s="646"/>
      <c r="Y111" s="646"/>
      <c r="Z111" s="646"/>
      <c r="AA111" s="646"/>
      <c r="AB111" s="646"/>
      <c r="AC111" s="646"/>
      <c r="AD111" s="646"/>
      <c r="AE111" s="646"/>
      <c r="AF111" s="646"/>
      <c r="AG111" s="646"/>
      <c r="AH111" s="646"/>
      <c r="AI111" s="646"/>
      <c r="AJ111" s="646"/>
      <c r="AK111" s="646"/>
      <c r="AL111" s="646"/>
      <c r="AM111" s="646"/>
      <c r="AN111" s="646"/>
      <c r="AO111" s="646"/>
      <c r="AP111" s="646"/>
      <c r="AQ111" s="646"/>
      <c r="AR111" s="646"/>
      <c r="AS111" s="646"/>
      <c r="AT111" s="646"/>
      <c r="AU111" s="646"/>
      <c r="AV111" s="647"/>
      <c r="AW111" s="647"/>
      <c r="AX111" s="647"/>
      <c r="AY111" s="506"/>
      <c r="AZ111" s="506"/>
      <c r="BA111" s="506"/>
      <c r="BB111" s="506"/>
      <c r="BC111" s="506"/>
      <c r="BD111" s="506"/>
      <c r="BE111" s="506"/>
      <c r="BF111" s="506"/>
      <c r="BG111" s="506"/>
      <c r="BH111" s="506"/>
      <c r="BI111" s="506"/>
      <c r="BJ111" s="506"/>
      <c r="BK111" s="506"/>
      <c r="BL111" s="506"/>
      <c r="BM111" s="506"/>
      <c r="BN111" s="506"/>
      <c r="BO111" s="506"/>
      <c r="BP111" s="506"/>
      <c r="BQ111" s="506"/>
      <c r="BR111" s="506"/>
      <c r="BS111" s="506"/>
      <c r="BT111" s="506"/>
      <c r="BU111" s="506"/>
      <c r="BV111" s="506"/>
      <c r="BW111" s="506"/>
      <c r="BX111" s="506"/>
      <c r="BY111" s="506"/>
      <c r="BZ111" s="506"/>
      <c r="CA111" s="506"/>
      <c r="CB111" s="506"/>
      <c r="CC111" s="506"/>
      <c r="CD111" s="506"/>
      <c r="CE111" s="506"/>
      <c r="CF111" s="506"/>
      <c r="CG111" s="506"/>
      <c r="CH111" s="506"/>
      <c r="CI111" s="506"/>
      <c r="CJ111" s="506"/>
      <c r="CK111" s="506"/>
      <c r="CL111" s="506"/>
      <c r="CM111" s="506"/>
      <c r="CN111" s="506"/>
      <c r="CO111" s="506"/>
      <c r="CP111" s="506"/>
      <c r="CQ111" s="506"/>
      <c r="CR111" s="506"/>
      <c r="CS111" s="506"/>
      <c r="CT111" s="506"/>
      <c r="CU111" s="506"/>
      <c r="CV111" s="506"/>
      <c r="CW111" s="506"/>
      <c r="CX111" s="506"/>
      <c r="CY111" s="506"/>
      <c r="CZ111" s="506"/>
      <c r="DA111" s="506"/>
      <c r="DB111" s="506"/>
      <c r="DC111" s="506"/>
      <c r="DD111" s="506"/>
      <c r="DE111" s="506"/>
      <c r="DF111" s="506"/>
      <c r="DG111" s="506"/>
      <c r="DH111" s="506"/>
      <c r="DI111" s="506"/>
      <c r="DJ111" s="506"/>
      <c r="DK111" s="506"/>
      <c r="DL111" s="506"/>
      <c r="DM111" s="506"/>
      <c r="DN111" s="506"/>
      <c r="DO111" s="506"/>
      <c r="DP111" s="506"/>
      <c r="DQ111" s="506"/>
      <c r="DR111" s="506"/>
      <c r="DS111" s="506"/>
      <c r="DT111" s="506"/>
      <c r="DU111" s="506"/>
      <c r="DV111" s="506"/>
      <c r="DW111" s="506"/>
      <c r="DX111" s="506"/>
      <c r="DY111" s="506"/>
      <c r="DZ111" s="506"/>
      <c r="EA111" s="506"/>
      <c r="EB111" s="506"/>
      <c r="EC111" s="506"/>
      <c r="ED111" s="506"/>
      <c r="EE111" s="506"/>
      <c r="EF111" s="506"/>
      <c r="EG111" s="506"/>
      <c r="EH111" s="506"/>
      <c r="EI111" s="506"/>
      <c r="EJ111" s="506"/>
      <c r="EK111" s="506"/>
      <c r="EL111" s="506"/>
      <c r="EM111" s="506"/>
      <c r="EN111" s="506"/>
      <c r="EO111" s="506"/>
      <c r="EP111" s="506"/>
      <c r="EQ111" s="506"/>
      <c r="ER111" s="506"/>
      <c r="ES111" s="506"/>
      <c r="ET111" s="506"/>
      <c r="EU111" s="506"/>
      <c r="EV111" s="506"/>
      <c r="EW111" s="506"/>
      <c r="EX111" s="506"/>
      <c r="EY111" s="506"/>
      <c r="EZ111" s="506"/>
      <c r="FA111" s="506"/>
      <c r="FB111" s="506"/>
      <c r="FC111" s="506"/>
      <c r="FD111" s="506"/>
      <c r="FE111" s="506"/>
      <c r="FF111" s="506"/>
      <c r="FG111" s="506"/>
      <c r="FH111" s="506"/>
      <c r="FI111" s="506"/>
      <c r="FJ111" s="506"/>
      <c r="FK111" s="506"/>
      <c r="FL111" s="506"/>
      <c r="FM111" s="506"/>
      <c r="FN111" s="506"/>
      <c r="FO111" s="506"/>
      <c r="FP111" s="506"/>
      <c r="FQ111" s="506"/>
      <c r="FR111" s="506"/>
      <c r="FS111" s="506"/>
      <c r="FT111" s="506"/>
      <c r="FU111" s="506"/>
      <c r="FV111" s="506"/>
      <c r="FW111" s="506"/>
      <c r="FX111" s="506"/>
      <c r="FY111" s="506"/>
      <c r="FZ111" s="506"/>
      <c r="GA111" s="506"/>
      <c r="GB111" s="506"/>
      <c r="GC111" s="506"/>
      <c r="GD111" s="506"/>
      <c r="GE111" s="506"/>
      <c r="GF111" s="506"/>
      <c r="GG111" s="506"/>
      <c r="GH111" s="506"/>
      <c r="GI111" s="506"/>
      <c r="GJ111" s="506"/>
      <c r="GK111" s="506"/>
      <c r="GL111" s="506"/>
      <c r="GM111" s="506"/>
      <c r="GN111" s="506"/>
      <c r="GO111" s="506"/>
      <c r="GP111" s="506"/>
      <c r="GQ111" s="506"/>
      <c r="GR111" s="506"/>
      <c r="GS111" s="506"/>
      <c r="GT111" s="506"/>
      <c r="GU111" s="506"/>
      <c r="GV111" s="506"/>
      <c r="GW111" s="506"/>
      <c r="GX111" s="506"/>
      <c r="GY111" s="506"/>
      <c r="GZ111" s="506"/>
      <c r="HA111" s="506"/>
      <c r="HB111" s="506"/>
      <c r="HC111" s="506"/>
      <c r="HD111" s="506"/>
      <c r="HE111" s="506"/>
      <c r="HF111" s="506"/>
      <c r="HG111" s="506"/>
      <c r="HH111" s="506"/>
      <c r="HI111" s="506"/>
      <c r="HJ111" s="506"/>
      <c r="HK111" s="506"/>
      <c r="HL111" s="506"/>
      <c r="HM111" s="506"/>
      <c r="HN111" s="506"/>
      <c r="HO111" s="506"/>
      <c r="HP111" s="506"/>
      <c r="HQ111" s="506"/>
      <c r="HR111" s="506"/>
      <c r="HS111" s="506"/>
      <c r="HT111" s="506"/>
      <c r="HU111" s="506"/>
      <c r="HV111" s="506"/>
      <c r="HW111" s="506"/>
      <c r="HX111" s="506"/>
      <c r="HY111" s="506"/>
      <c r="HZ111" s="506"/>
      <c r="IA111" s="506"/>
      <c r="IB111" s="506"/>
      <c r="IC111" s="506"/>
      <c r="ID111" s="506"/>
      <c r="IE111" s="506"/>
      <c r="IF111" s="506"/>
      <c r="IG111" s="506"/>
      <c r="IH111" s="506"/>
      <c r="II111" s="506"/>
      <c r="IJ111" s="506"/>
      <c r="IK111" s="506"/>
      <c r="IL111" s="506"/>
      <c r="IM111" s="506"/>
      <c r="IN111" s="506"/>
      <c r="IO111" s="506"/>
      <c r="IP111" s="506"/>
      <c r="IQ111" s="506"/>
      <c r="IR111" s="506"/>
      <c r="IS111" s="506"/>
      <c r="IT111" s="506"/>
      <c r="IU111" s="506"/>
      <c r="IV111" s="506"/>
    </row>
    <row r="112" spans="1:256" ht="13.5" customHeight="1">
      <c r="A112" s="467"/>
      <c r="B112" s="468"/>
      <c r="C112" s="1017">
        <v>5</v>
      </c>
      <c r="D112" s="1017" t="s">
        <v>175</v>
      </c>
      <c r="E112" s="468"/>
      <c r="F112" s="469"/>
      <c r="G112" s="470"/>
      <c r="H112" s="470">
        <f>SUM(H113:H114,H121:H124)</f>
        <v>0</v>
      </c>
      <c r="I112" s="327"/>
      <c r="J112" s="654"/>
      <c r="K112" s="638"/>
      <c r="L112" s="639"/>
      <c r="M112" s="641"/>
      <c r="N112" s="641"/>
      <c r="O112" s="642"/>
      <c r="P112" s="641"/>
      <c r="Q112" s="643"/>
      <c r="R112" s="644"/>
      <c r="S112" s="645"/>
      <c r="T112" s="646"/>
      <c r="U112" s="646"/>
      <c r="V112" s="646"/>
      <c r="W112" s="646"/>
      <c r="X112" s="646"/>
      <c r="Y112" s="646"/>
      <c r="Z112" s="646"/>
      <c r="AA112" s="646"/>
      <c r="AB112" s="646"/>
      <c r="AC112" s="646"/>
      <c r="AD112" s="646"/>
      <c r="AE112" s="646"/>
      <c r="AF112" s="646"/>
      <c r="AG112" s="646"/>
      <c r="AH112" s="646"/>
      <c r="AI112" s="646"/>
      <c r="AJ112" s="646"/>
      <c r="AK112" s="646"/>
      <c r="AL112" s="646"/>
      <c r="AM112" s="646"/>
      <c r="AN112" s="646"/>
      <c r="AO112" s="646"/>
      <c r="AP112" s="646"/>
      <c r="AQ112" s="646"/>
      <c r="AR112" s="646"/>
      <c r="AS112" s="646"/>
      <c r="AT112" s="646"/>
      <c r="AU112" s="646"/>
      <c r="AV112" s="647"/>
      <c r="AW112" s="647"/>
      <c r="AX112" s="647"/>
    </row>
    <row r="113" spans="1:50" s="508" customFormat="1" ht="13.5" customHeight="1">
      <c r="A113" s="699" t="s">
        <v>290</v>
      </c>
      <c r="B113" s="700" t="s">
        <v>119</v>
      </c>
      <c r="C113" s="34" t="s">
        <v>176</v>
      </c>
      <c r="D113" s="34" t="s">
        <v>177</v>
      </c>
      <c r="E113" s="34" t="s">
        <v>98</v>
      </c>
      <c r="F113" s="534">
        <f>SUM(F121)</f>
        <v>6.8</v>
      </c>
      <c r="G113" s="848">
        <f>SUM(H115:H120)/F113</f>
        <v>0</v>
      </c>
      <c r="H113" s="848">
        <f>F113*G113</f>
        <v>0</v>
      </c>
      <c r="I113" s="533" t="s">
        <v>739</v>
      </c>
      <c r="J113" s="866"/>
      <c r="K113" s="867"/>
      <c r="L113" s="867"/>
      <c r="M113" s="867"/>
      <c r="N113" s="867"/>
      <c r="O113" s="868"/>
      <c r="P113" s="869"/>
      <c r="Q113" s="870"/>
      <c r="R113" s="670"/>
      <c r="S113" s="670"/>
      <c r="T113" s="671"/>
      <c r="U113" s="509"/>
      <c r="V113" s="691"/>
      <c r="W113" s="509"/>
      <c r="X113" s="509"/>
      <c r="Y113" s="505"/>
      <c r="Z113" s="505"/>
      <c r="AA113" s="505"/>
      <c r="AB113" s="505"/>
      <c r="AC113" s="505"/>
      <c r="AD113" s="505"/>
      <c r="AE113" s="505"/>
      <c r="AF113" s="505"/>
      <c r="AG113" s="505"/>
      <c r="AH113" s="505"/>
      <c r="AI113" s="505"/>
      <c r="AJ113" s="505"/>
      <c r="AK113" s="505"/>
      <c r="AL113" s="505"/>
      <c r="AM113" s="505"/>
      <c r="AN113" s="505"/>
      <c r="AO113" s="505"/>
      <c r="AP113" s="505"/>
      <c r="AQ113" s="505"/>
      <c r="AR113" s="505"/>
      <c r="AS113" s="505"/>
      <c r="AT113" s="505"/>
      <c r="AU113" s="505"/>
      <c r="AV113" s="506"/>
      <c r="AW113" s="506"/>
      <c r="AX113" s="506"/>
    </row>
    <row r="114" spans="1:50" s="508" customFormat="1" ht="13.5" customHeight="1">
      <c r="A114" s="871"/>
      <c r="B114" s="872"/>
      <c r="C114" s="873"/>
      <c r="D114" s="36" t="s">
        <v>178</v>
      </c>
      <c r="E114" s="34"/>
      <c r="F114" s="874"/>
      <c r="G114" s="848"/>
      <c r="H114" s="848"/>
      <c r="I114" s="875"/>
      <c r="J114" s="876"/>
      <c r="K114" s="867"/>
      <c r="L114" s="867"/>
      <c r="M114" s="867"/>
      <c r="N114" s="867"/>
      <c r="O114" s="868"/>
      <c r="P114" s="869"/>
      <c r="Q114" s="870"/>
      <c r="R114" s="670"/>
      <c r="S114" s="670"/>
      <c r="T114" s="671"/>
      <c r="U114" s="509"/>
      <c r="V114" s="691"/>
      <c r="W114" s="509"/>
      <c r="X114" s="509"/>
      <c r="Y114" s="505"/>
      <c r="Z114" s="505"/>
      <c r="AA114" s="505"/>
      <c r="AB114" s="505"/>
      <c r="AC114" s="505"/>
      <c r="AD114" s="505"/>
      <c r="AE114" s="505"/>
      <c r="AF114" s="505"/>
      <c r="AG114" s="505"/>
      <c r="AH114" s="505"/>
      <c r="AI114" s="505"/>
      <c r="AJ114" s="505"/>
      <c r="AK114" s="505"/>
      <c r="AL114" s="505"/>
      <c r="AM114" s="505"/>
      <c r="AN114" s="505"/>
      <c r="AO114" s="505"/>
      <c r="AP114" s="505"/>
      <c r="AQ114" s="505"/>
      <c r="AR114" s="505"/>
      <c r="AS114" s="505"/>
      <c r="AT114" s="505"/>
      <c r="AU114" s="505"/>
      <c r="AV114" s="506"/>
      <c r="AW114" s="506"/>
      <c r="AX114" s="506"/>
    </row>
    <row r="115" spans="1:50" s="508" customFormat="1" ht="13.5" customHeight="1">
      <c r="A115" s="852" t="s">
        <v>282</v>
      </c>
      <c r="B115" s="872"/>
      <c r="C115" s="445" t="s">
        <v>264</v>
      </c>
      <c r="D115" s="36" t="s">
        <v>446</v>
      </c>
      <c r="E115" s="445" t="s">
        <v>98</v>
      </c>
      <c r="F115" s="548">
        <v>7.5</v>
      </c>
      <c r="G115" s="133"/>
      <c r="H115" s="877">
        <f t="shared" ref="H115:H120" si="2">F115*G115</f>
        <v>0</v>
      </c>
      <c r="I115" s="449" t="s">
        <v>740</v>
      </c>
      <c r="J115" s="878"/>
      <c r="K115" s="879"/>
      <c r="L115" s="879"/>
      <c r="M115" s="879"/>
      <c r="N115" s="879"/>
      <c r="O115" s="668"/>
      <c r="P115" s="668"/>
      <c r="Q115" s="689"/>
      <c r="R115" s="670"/>
      <c r="S115" s="670"/>
      <c r="T115" s="671"/>
      <c r="U115" s="509"/>
      <c r="V115" s="691"/>
      <c r="W115" s="509"/>
      <c r="X115" s="509"/>
      <c r="Y115" s="505"/>
      <c r="Z115" s="505"/>
      <c r="AA115" s="505"/>
      <c r="AB115" s="505"/>
      <c r="AC115" s="505"/>
      <c r="AD115" s="505"/>
      <c r="AE115" s="505"/>
      <c r="AF115" s="505"/>
      <c r="AG115" s="505"/>
      <c r="AH115" s="505"/>
      <c r="AI115" s="505"/>
      <c r="AJ115" s="505"/>
      <c r="AK115" s="505"/>
      <c r="AL115" s="505"/>
      <c r="AM115" s="505"/>
      <c r="AN115" s="505"/>
      <c r="AO115" s="505"/>
      <c r="AP115" s="505"/>
      <c r="AQ115" s="505"/>
      <c r="AR115" s="505"/>
      <c r="AS115" s="505"/>
      <c r="AT115" s="505"/>
      <c r="AU115" s="505"/>
      <c r="AV115" s="506"/>
      <c r="AW115" s="506"/>
      <c r="AX115" s="506"/>
    </row>
    <row r="116" spans="1:50" s="541" customFormat="1" ht="13.5" customHeight="1">
      <c r="A116" s="880" t="s">
        <v>283</v>
      </c>
      <c r="B116" s="881"/>
      <c r="C116" s="445" t="s">
        <v>265</v>
      </c>
      <c r="D116" s="882" t="s">
        <v>447</v>
      </c>
      <c r="E116" s="882" t="s">
        <v>98</v>
      </c>
      <c r="F116" s="548">
        <v>7.5</v>
      </c>
      <c r="G116" s="134"/>
      <c r="H116" s="883">
        <f t="shared" si="2"/>
        <v>0</v>
      </c>
      <c r="I116" s="449" t="s">
        <v>740</v>
      </c>
      <c r="J116" s="884"/>
      <c r="K116" s="885"/>
      <c r="L116" s="886"/>
      <c r="M116" s="887"/>
      <c r="N116" s="887"/>
      <c r="O116" s="888"/>
      <c r="P116" s="887"/>
      <c r="Q116" s="884"/>
      <c r="R116" s="889"/>
      <c r="S116" s="586"/>
      <c r="T116" s="452"/>
      <c r="U116" s="452"/>
      <c r="V116" s="452"/>
      <c r="W116" s="452"/>
      <c r="X116" s="452"/>
      <c r="Y116" s="505"/>
      <c r="Z116" s="505"/>
      <c r="AA116" s="505"/>
      <c r="AB116" s="505"/>
      <c r="AC116" s="505"/>
      <c r="AD116" s="505"/>
      <c r="AE116" s="505"/>
      <c r="AF116" s="505"/>
      <c r="AG116" s="505"/>
      <c r="AH116" s="505"/>
      <c r="AI116" s="505"/>
      <c r="AJ116" s="505"/>
      <c r="AK116" s="505"/>
      <c r="AL116" s="505"/>
      <c r="AM116" s="505"/>
      <c r="AN116" s="505"/>
      <c r="AO116" s="505"/>
      <c r="AP116" s="505"/>
      <c r="AQ116" s="505"/>
      <c r="AR116" s="505"/>
      <c r="AS116" s="505"/>
      <c r="AT116" s="505"/>
      <c r="AU116" s="505"/>
      <c r="AV116" s="506"/>
      <c r="AW116" s="506"/>
      <c r="AX116" s="506"/>
    </row>
    <row r="117" spans="1:50" s="508" customFormat="1" ht="13.5" customHeight="1">
      <c r="A117" s="852" t="s">
        <v>284</v>
      </c>
      <c r="B117" s="872"/>
      <c r="C117" s="445" t="s">
        <v>293</v>
      </c>
      <c r="D117" s="882" t="s">
        <v>448</v>
      </c>
      <c r="E117" s="882" t="s">
        <v>98</v>
      </c>
      <c r="F117" s="548">
        <v>7.5</v>
      </c>
      <c r="G117" s="134"/>
      <c r="H117" s="883">
        <f t="shared" si="2"/>
        <v>0</v>
      </c>
      <c r="I117" s="449" t="s">
        <v>740</v>
      </c>
      <c r="J117" s="878"/>
      <c r="K117" s="879"/>
      <c r="L117" s="879"/>
      <c r="M117" s="879"/>
      <c r="N117" s="879"/>
      <c r="O117" s="668"/>
      <c r="P117" s="668"/>
      <c r="Q117" s="689"/>
      <c r="R117" s="670"/>
      <c r="S117" s="670"/>
      <c r="T117" s="671"/>
      <c r="U117" s="509"/>
      <c r="V117" s="691"/>
      <c r="W117" s="509"/>
      <c r="X117" s="509"/>
      <c r="Y117" s="505"/>
      <c r="Z117" s="505"/>
      <c r="AA117" s="505"/>
      <c r="AB117" s="505"/>
      <c r="AC117" s="505"/>
      <c r="AD117" s="505"/>
      <c r="AE117" s="505"/>
      <c r="AF117" s="505"/>
      <c r="AG117" s="505"/>
      <c r="AH117" s="505"/>
      <c r="AI117" s="505"/>
      <c r="AJ117" s="505"/>
      <c r="AK117" s="505"/>
      <c r="AL117" s="505"/>
      <c r="AM117" s="505"/>
      <c r="AN117" s="505"/>
      <c r="AO117" s="505"/>
      <c r="AP117" s="505"/>
      <c r="AQ117" s="505"/>
      <c r="AR117" s="505"/>
      <c r="AS117" s="505"/>
      <c r="AT117" s="505"/>
      <c r="AU117" s="505"/>
      <c r="AV117" s="506"/>
      <c r="AW117" s="506"/>
      <c r="AX117" s="506"/>
    </row>
    <row r="118" spans="1:50" s="541" customFormat="1" ht="13.5" customHeight="1">
      <c r="A118" s="880" t="s">
        <v>285</v>
      </c>
      <c r="B118" s="881"/>
      <c r="C118" s="445" t="s">
        <v>265</v>
      </c>
      <c r="D118" s="882" t="s">
        <v>447</v>
      </c>
      <c r="E118" s="882" t="s">
        <v>98</v>
      </c>
      <c r="F118" s="548">
        <v>7.5</v>
      </c>
      <c r="G118" s="134"/>
      <c r="H118" s="883">
        <f t="shared" si="2"/>
        <v>0</v>
      </c>
      <c r="I118" s="449" t="s">
        <v>740</v>
      </c>
      <c r="J118" s="884"/>
      <c r="K118" s="885"/>
      <c r="L118" s="886"/>
      <c r="M118" s="887"/>
      <c r="N118" s="887"/>
      <c r="O118" s="888"/>
      <c r="P118" s="887"/>
      <c r="Q118" s="884"/>
      <c r="R118" s="889"/>
      <c r="S118" s="586"/>
      <c r="T118" s="452"/>
      <c r="U118" s="452"/>
      <c r="V118" s="452"/>
      <c r="W118" s="452"/>
      <c r="X118" s="452"/>
      <c r="Y118" s="612"/>
      <c r="Z118" s="612"/>
      <c r="AA118" s="612"/>
      <c r="AB118" s="612"/>
      <c r="AC118" s="612"/>
      <c r="AD118" s="612"/>
      <c r="AE118" s="612"/>
      <c r="AF118" s="612"/>
      <c r="AG118" s="612"/>
      <c r="AH118" s="612"/>
      <c r="AI118" s="612"/>
      <c r="AJ118" s="612"/>
      <c r="AK118" s="612"/>
      <c r="AL118" s="612"/>
      <c r="AM118" s="612"/>
      <c r="AN118" s="612"/>
      <c r="AO118" s="612"/>
      <c r="AP118" s="612"/>
      <c r="AQ118" s="612"/>
      <c r="AR118" s="612"/>
      <c r="AS118" s="612"/>
      <c r="AT118" s="612"/>
      <c r="AU118" s="612"/>
      <c r="AV118" s="862"/>
      <c r="AW118" s="862"/>
      <c r="AX118" s="862"/>
    </row>
    <row r="119" spans="1:50" s="508" customFormat="1" ht="13.5" customHeight="1">
      <c r="A119" s="852" t="s">
        <v>395</v>
      </c>
      <c r="B119" s="872"/>
      <c r="C119" s="445">
        <v>564861111</v>
      </c>
      <c r="D119" s="36" t="s">
        <v>449</v>
      </c>
      <c r="E119" s="445" t="s">
        <v>98</v>
      </c>
      <c r="F119" s="548">
        <v>7.5</v>
      </c>
      <c r="G119" s="133"/>
      <c r="H119" s="853">
        <f t="shared" si="2"/>
        <v>0</v>
      </c>
      <c r="I119" s="449" t="s">
        <v>738</v>
      </c>
      <c r="J119" s="878"/>
      <c r="K119" s="879"/>
      <c r="L119" s="879"/>
      <c r="M119" s="879"/>
      <c r="N119" s="879"/>
      <c r="O119" s="890"/>
      <c r="P119" s="668"/>
      <c r="Q119" s="689"/>
      <c r="R119" s="670"/>
      <c r="S119" s="670"/>
      <c r="T119" s="671"/>
      <c r="U119" s="509"/>
      <c r="V119" s="691"/>
      <c r="W119" s="509"/>
      <c r="X119" s="509"/>
      <c r="Y119" s="612"/>
      <c r="Z119" s="612"/>
      <c r="AA119" s="612"/>
      <c r="AB119" s="612"/>
      <c r="AC119" s="612"/>
      <c r="AD119" s="612"/>
      <c r="AE119" s="612"/>
      <c r="AF119" s="612"/>
      <c r="AG119" s="612"/>
      <c r="AH119" s="612"/>
      <c r="AI119" s="612"/>
      <c r="AJ119" s="612"/>
      <c r="AK119" s="612"/>
      <c r="AL119" s="612"/>
      <c r="AM119" s="612"/>
      <c r="AN119" s="612"/>
      <c r="AO119" s="612"/>
      <c r="AP119" s="612"/>
      <c r="AQ119" s="612"/>
      <c r="AR119" s="612"/>
      <c r="AS119" s="612"/>
      <c r="AT119" s="612"/>
      <c r="AU119" s="612"/>
      <c r="AV119" s="862"/>
      <c r="AW119" s="862"/>
      <c r="AX119" s="862"/>
    </row>
    <row r="120" spans="1:50" s="508" customFormat="1" ht="13.5" customHeight="1">
      <c r="A120" s="852" t="s">
        <v>652</v>
      </c>
      <c r="B120" s="872"/>
      <c r="C120" s="445">
        <v>564751113</v>
      </c>
      <c r="D120" s="36" t="s">
        <v>450</v>
      </c>
      <c r="E120" s="445" t="s">
        <v>98</v>
      </c>
      <c r="F120" s="548">
        <v>7.5</v>
      </c>
      <c r="G120" s="133"/>
      <c r="H120" s="853">
        <f t="shared" si="2"/>
        <v>0</v>
      </c>
      <c r="I120" s="449" t="s">
        <v>738</v>
      </c>
      <c r="J120" s="878"/>
      <c r="K120" s="879"/>
      <c r="L120" s="879"/>
      <c r="M120" s="879"/>
      <c r="N120" s="879"/>
      <c r="O120" s="668"/>
      <c r="P120" s="668"/>
      <c r="Q120" s="689"/>
      <c r="R120" s="670"/>
      <c r="S120" s="670"/>
      <c r="T120" s="671"/>
      <c r="U120" s="509"/>
      <c r="V120" s="691"/>
      <c r="W120" s="509"/>
      <c r="X120" s="509"/>
      <c r="Y120" s="505"/>
      <c r="Z120" s="505"/>
      <c r="AA120" s="505"/>
      <c r="AB120" s="505"/>
      <c r="AC120" s="505"/>
      <c r="AD120" s="505"/>
      <c r="AE120" s="505"/>
      <c r="AF120" s="505"/>
      <c r="AG120" s="505"/>
      <c r="AH120" s="505"/>
      <c r="AI120" s="505"/>
      <c r="AJ120" s="505"/>
      <c r="AK120" s="505"/>
      <c r="AL120" s="505"/>
      <c r="AM120" s="505"/>
      <c r="AN120" s="505"/>
      <c r="AO120" s="505"/>
      <c r="AP120" s="505"/>
      <c r="AQ120" s="505"/>
      <c r="AR120" s="505"/>
      <c r="AS120" s="505"/>
      <c r="AT120" s="505"/>
      <c r="AU120" s="505"/>
      <c r="AV120" s="506"/>
      <c r="AW120" s="506"/>
      <c r="AX120" s="506"/>
    </row>
    <row r="121" spans="1:50" s="508" customFormat="1" ht="13.5" customHeight="1">
      <c r="A121" s="871"/>
      <c r="B121" s="872"/>
      <c r="C121" s="873"/>
      <c r="D121" s="36" t="s">
        <v>497</v>
      </c>
      <c r="E121" s="891"/>
      <c r="F121" s="548">
        <f>(6.8)*1</f>
        <v>6.8</v>
      </c>
      <c r="G121" s="1018"/>
      <c r="H121" s="1018"/>
      <c r="I121" s="697"/>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3"/>
      <c r="AR121" s="313"/>
      <c r="AS121" s="313"/>
      <c r="AT121" s="313"/>
      <c r="AU121" s="313"/>
      <c r="AV121" s="314"/>
      <c r="AW121" s="314"/>
      <c r="AX121" s="314"/>
    </row>
    <row r="122" spans="1:50" s="508" customFormat="1" ht="13.5" customHeight="1">
      <c r="A122" s="530"/>
      <c r="B122" s="34"/>
      <c r="C122" s="34"/>
      <c r="D122" s="36" t="s">
        <v>179</v>
      </c>
      <c r="E122" s="34"/>
      <c r="F122" s="548"/>
      <c r="G122" s="848"/>
      <c r="H122" s="848"/>
      <c r="I122" s="533"/>
      <c r="J122" s="313"/>
      <c r="K122" s="313"/>
      <c r="L122" s="313"/>
      <c r="M122" s="313"/>
      <c r="N122" s="313"/>
      <c r="O122" s="313"/>
      <c r="P122" s="313"/>
      <c r="Q122" s="870"/>
      <c r="R122" s="670"/>
      <c r="S122" s="670"/>
      <c r="T122" s="671"/>
      <c r="U122" s="509"/>
      <c r="V122" s="691"/>
      <c r="W122" s="509"/>
      <c r="X122" s="509"/>
      <c r="Y122" s="509"/>
      <c r="Z122" s="509"/>
      <c r="AA122" s="509"/>
      <c r="AB122" s="509"/>
      <c r="AC122" s="509"/>
      <c r="AD122" s="509"/>
      <c r="AE122" s="509"/>
      <c r="AF122" s="509"/>
      <c r="AG122" s="509"/>
      <c r="AH122" s="509"/>
      <c r="AI122" s="509"/>
      <c r="AJ122" s="509"/>
      <c r="AK122" s="509"/>
      <c r="AL122" s="509"/>
      <c r="AM122" s="509"/>
      <c r="AN122" s="509"/>
      <c r="AO122" s="509"/>
      <c r="AP122" s="509"/>
      <c r="AQ122" s="509"/>
      <c r="AR122" s="509"/>
      <c r="AS122" s="509"/>
      <c r="AT122" s="509"/>
      <c r="AU122" s="509"/>
    </row>
    <row r="123" spans="1:50" s="563" customFormat="1" ht="13.5" customHeight="1">
      <c r="A123" s="1019" t="s">
        <v>494</v>
      </c>
      <c r="B123" s="536" t="s">
        <v>119</v>
      </c>
      <c r="C123" s="537" t="s">
        <v>393</v>
      </c>
      <c r="D123" s="557" t="s">
        <v>498</v>
      </c>
      <c r="E123" s="557" t="s">
        <v>98</v>
      </c>
      <c r="F123" s="895">
        <f>SUM(F129)</f>
        <v>1.5</v>
      </c>
      <c r="G123" s="1020">
        <f>SUM(H125:H128)/F123</f>
        <v>0</v>
      </c>
      <c r="H123" s="1020">
        <f>F123*G123</f>
        <v>0</v>
      </c>
      <c r="I123" s="533" t="s">
        <v>739</v>
      </c>
      <c r="J123" s="1021"/>
      <c r="K123" s="377"/>
      <c r="L123" s="377"/>
      <c r="M123" s="377"/>
      <c r="N123" s="377"/>
      <c r="O123" s="378"/>
      <c r="P123" s="369"/>
      <c r="Q123" s="370"/>
      <c r="R123" s="371"/>
      <c r="S123" s="371"/>
      <c r="T123" s="372"/>
      <c r="U123" s="373"/>
      <c r="V123" s="374"/>
      <c r="W123" s="373"/>
      <c r="X123" s="373"/>
      <c r="Y123" s="373"/>
      <c r="Z123" s="373"/>
      <c r="AA123" s="373"/>
      <c r="AB123" s="373"/>
      <c r="AC123" s="373"/>
      <c r="AD123" s="373"/>
      <c r="AE123" s="373"/>
      <c r="AF123" s="373"/>
      <c r="AG123" s="373"/>
      <c r="AH123" s="373"/>
      <c r="AI123" s="373"/>
      <c r="AJ123" s="373"/>
      <c r="AK123" s="373"/>
      <c r="AL123" s="373"/>
      <c r="AM123" s="373"/>
      <c r="AN123" s="373"/>
      <c r="AO123" s="373"/>
      <c r="AP123" s="373"/>
      <c r="AQ123" s="373"/>
      <c r="AR123" s="373"/>
      <c r="AS123" s="373"/>
      <c r="AT123" s="373"/>
      <c r="AU123" s="373"/>
    </row>
    <row r="124" spans="1:50" s="563" customFormat="1" ht="13.5" customHeight="1">
      <c r="A124" s="1022"/>
      <c r="B124" s="1023"/>
      <c r="C124" s="1024"/>
      <c r="D124" s="558" t="s">
        <v>178</v>
      </c>
      <c r="E124" s="557"/>
      <c r="F124" s="1025"/>
      <c r="G124" s="1020"/>
      <c r="H124" s="1020"/>
      <c r="I124" s="1026"/>
      <c r="J124" s="1027"/>
      <c r="K124" s="1028"/>
      <c r="L124" s="1029"/>
      <c r="M124" s="1030"/>
      <c r="N124" s="1030"/>
      <c r="O124" s="1031"/>
      <c r="P124" s="1030"/>
      <c r="Q124" s="1032"/>
      <c r="R124" s="373"/>
      <c r="S124" s="373"/>
      <c r="T124" s="372"/>
      <c r="U124" s="373"/>
      <c r="V124" s="374"/>
      <c r="W124" s="373"/>
      <c r="X124" s="373"/>
      <c r="Y124" s="373"/>
      <c r="Z124" s="373"/>
      <c r="AA124" s="373"/>
      <c r="AB124" s="373"/>
      <c r="AC124" s="373"/>
      <c r="AD124" s="373"/>
      <c r="AE124" s="373"/>
      <c r="AF124" s="373"/>
      <c r="AG124" s="373"/>
      <c r="AH124" s="373"/>
      <c r="AI124" s="373"/>
      <c r="AJ124" s="373"/>
      <c r="AK124" s="373"/>
      <c r="AL124" s="373"/>
      <c r="AM124" s="373"/>
      <c r="AN124" s="373"/>
      <c r="AO124" s="373"/>
      <c r="AP124" s="373"/>
      <c r="AQ124" s="373"/>
      <c r="AR124" s="373"/>
      <c r="AS124" s="373"/>
      <c r="AT124" s="373"/>
      <c r="AU124" s="373"/>
    </row>
    <row r="125" spans="1:50" s="563" customFormat="1" ht="13.5" customHeight="1">
      <c r="A125" s="1033" t="s">
        <v>258</v>
      </c>
      <c r="B125" s="556"/>
      <c r="C125" s="445" t="s">
        <v>500</v>
      </c>
      <c r="D125" s="558" t="s">
        <v>647</v>
      </c>
      <c r="E125" s="1034" t="s">
        <v>98</v>
      </c>
      <c r="F125" s="559">
        <v>1.5</v>
      </c>
      <c r="G125" s="135"/>
      <c r="H125" s="790">
        <f>F125*G125</f>
        <v>0</v>
      </c>
      <c r="I125" s="449" t="s">
        <v>740</v>
      </c>
      <c r="J125" s="373"/>
      <c r="K125" s="1027"/>
      <c r="L125" s="1028"/>
      <c r="M125" s="1029"/>
      <c r="N125" s="1030"/>
      <c r="O125" s="1030"/>
      <c r="P125" s="1031"/>
      <c r="Q125" s="1030"/>
      <c r="R125" s="1032"/>
      <c r="S125" s="889"/>
      <c r="T125" s="371"/>
      <c r="U125" s="372"/>
      <c r="V125" s="373"/>
      <c r="W125" s="373"/>
      <c r="X125" s="373"/>
      <c r="Y125" s="373"/>
      <c r="Z125" s="373"/>
      <c r="AA125" s="373"/>
      <c r="AB125" s="373"/>
      <c r="AC125" s="373"/>
      <c r="AD125" s="373"/>
      <c r="AE125" s="373"/>
      <c r="AF125" s="373"/>
      <c r="AG125" s="373"/>
      <c r="AH125" s="373"/>
      <c r="AI125" s="373"/>
      <c r="AJ125" s="373"/>
      <c r="AK125" s="373"/>
      <c r="AL125" s="373"/>
      <c r="AM125" s="373"/>
      <c r="AN125" s="373"/>
      <c r="AO125" s="373"/>
      <c r="AP125" s="373"/>
      <c r="AQ125" s="373"/>
      <c r="AR125" s="373"/>
      <c r="AS125" s="373"/>
      <c r="AT125" s="373"/>
      <c r="AU125" s="373"/>
    </row>
    <row r="126" spans="1:50" s="563" customFormat="1" ht="13.5" customHeight="1">
      <c r="A126" s="1035" t="s">
        <v>259</v>
      </c>
      <c r="B126" s="1036"/>
      <c r="C126" s="1037" t="s">
        <v>501</v>
      </c>
      <c r="D126" s="1038" t="s">
        <v>648</v>
      </c>
      <c r="E126" s="1039" t="s">
        <v>98</v>
      </c>
      <c r="F126" s="1040">
        <v>0.15</v>
      </c>
      <c r="G126" s="136"/>
      <c r="H126" s="1041">
        <f>F126*G126</f>
        <v>0</v>
      </c>
      <c r="I126" s="1042" t="s">
        <v>740</v>
      </c>
      <c r="J126" s="373"/>
      <c r="K126" s="1043"/>
      <c r="L126" s="1044"/>
      <c r="M126" s="1045"/>
      <c r="N126" s="1046"/>
      <c r="O126" s="1046"/>
      <c r="P126" s="1047"/>
      <c r="Q126" s="1046"/>
      <c r="R126" s="1032"/>
      <c r="S126" s="1048"/>
      <c r="T126" s="371"/>
      <c r="U126" s="372"/>
      <c r="V126" s="373"/>
      <c r="W126" s="373"/>
      <c r="X126" s="373"/>
      <c r="Y126" s="373"/>
      <c r="Z126" s="373"/>
      <c r="AA126" s="373"/>
      <c r="AB126" s="373"/>
      <c r="AC126" s="373"/>
      <c r="AD126" s="373"/>
      <c r="AE126" s="373"/>
      <c r="AF126" s="373"/>
      <c r="AG126" s="373"/>
      <c r="AH126" s="373"/>
      <c r="AI126" s="373"/>
      <c r="AJ126" s="373"/>
      <c r="AK126" s="373"/>
      <c r="AL126" s="373"/>
      <c r="AM126" s="373"/>
      <c r="AN126" s="373"/>
      <c r="AO126" s="373"/>
      <c r="AP126" s="373"/>
      <c r="AQ126" s="373"/>
      <c r="AR126" s="373"/>
      <c r="AS126" s="373"/>
      <c r="AT126" s="373"/>
      <c r="AU126" s="373"/>
    </row>
    <row r="127" spans="1:50" s="563" customFormat="1" ht="13.5" customHeight="1">
      <c r="A127" s="1035" t="s">
        <v>260</v>
      </c>
      <c r="B127" s="1049"/>
      <c r="C127" s="1037">
        <v>58343810</v>
      </c>
      <c r="D127" s="1039" t="s">
        <v>649</v>
      </c>
      <c r="E127" s="1039" t="s">
        <v>125</v>
      </c>
      <c r="F127" s="1040">
        <v>0.15</v>
      </c>
      <c r="G127" s="136"/>
      <c r="H127" s="1041">
        <f>F127*G127</f>
        <v>0</v>
      </c>
      <c r="I127" s="1042" t="s">
        <v>738</v>
      </c>
      <c r="J127" s="373"/>
      <c r="K127" s="1043"/>
      <c r="L127" s="1044"/>
      <c r="M127" s="1045"/>
      <c r="N127" s="1046"/>
      <c r="O127" s="1044"/>
      <c r="P127" s="1050"/>
      <c r="Q127" s="1051"/>
      <c r="R127" s="1032"/>
      <c r="S127" s="371"/>
      <c r="T127" s="371"/>
      <c r="U127" s="372"/>
      <c r="V127" s="373"/>
      <c r="W127" s="373"/>
      <c r="X127" s="373"/>
      <c r="Y127" s="373"/>
      <c r="Z127" s="373"/>
      <c r="AA127" s="373"/>
      <c r="AB127" s="373"/>
      <c r="AC127" s="373"/>
      <c r="AD127" s="373"/>
      <c r="AE127" s="373"/>
      <c r="AF127" s="373"/>
      <c r="AG127" s="373"/>
      <c r="AH127" s="373"/>
      <c r="AI127" s="373"/>
      <c r="AJ127" s="373"/>
      <c r="AK127" s="373"/>
      <c r="AL127" s="373"/>
      <c r="AM127" s="373"/>
      <c r="AN127" s="373"/>
      <c r="AO127" s="373"/>
      <c r="AP127" s="373"/>
      <c r="AQ127" s="373"/>
      <c r="AR127" s="373"/>
      <c r="AS127" s="373"/>
      <c r="AT127" s="373"/>
      <c r="AU127" s="373"/>
    </row>
    <row r="128" spans="1:50" s="563" customFormat="1" ht="13.5" customHeight="1">
      <c r="A128" s="1033" t="s">
        <v>261</v>
      </c>
      <c r="B128" s="1023"/>
      <c r="C128" s="445" t="s">
        <v>499</v>
      </c>
      <c r="D128" s="558" t="s">
        <v>650</v>
      </c>
      <c r="E128" s="1034" t="s">
        <v>98</v>
      </c>
      <c r="F128" s="559">
        <v>1.65</v>
      </c>
      <c r="G128" s="135"/>
      <c r="H128" s="790">
        <f>F128*G128</f>
        <v>0</v>
      </c>
      <c r="I128" s="449" t="s">
        <v>740</v>
      </c>
      <c r="J128" s="373"/>
      <c r="K128" s="884"/>
      <c r="L128" s="885"/>
      <c r="M128" s="886"/>
      <c r="N128" s="887"/>
      <c r="O128" s="887"/>
      <c r="P128" s="888"/>
      <c r="Q128" s="887"/>
      <c r="R128" s="1052"/>
      <c r="S128" s="1028"/>
      <c r="T128" s="1028"/>
      <c r="U128" s="1028"/>
      <c r="V128" s="373"/>
      <c r="W128" s="373"/>
      <c r="X128" s="373"/>
      <c r="Y128" s="373"/>
      <c r="Z128" s="373"/>
      <c r="AA128" s="373"/>
      <c r="AB128" s="373"/>
      <c r="AC128" s="373"/>
      <c r="AD128" s="373"/>
      <c r="AE128" s="373"/>
      <c r="AF128" s="373"/>
      <c r="AG128" s="373"/>
      <c r="AH128" s="373"/>
      <c r="AI128" s="373"/>
      <c r="AJ128" s="373"/>
      <c r="AK128" s="373"/>
      <c r="AL128" s="373"/>
      <c r="AM128" s="373"/>
      <c r="AN128" s="373"/>
      <c r="AO128" s="373"/>
      <c r="AP128" s="373"/>
      <c r="AQ128" s="373"/>
      <c r="AR128" s="373"/>
      <c r="AS128" s="373"/>
      <c r="AT128" s="373"/>
      <c r="AU128" s="373"/>
    </row>
    <row r="129" spans="1:50" s="563" customFormat="1" ht="13.5" customHeight="1">
      <c r="A129" s="1022"/>
      <c r="B129" s="1023"/>
      <c r="C129" s="1053"/>
      <c r="D129" s="558" t="s">
        <v>646</v>
      </c>
      <c r="E129" s="1054"/>
      <c r="F129" s="559">
        <v>1.5</v>
      </c>
      <c r="G129" s="1055"/>
      <c r="H129" s="1055"/>
      <c r="I129" s="906"/>
      <c r="J129" s="373"/>
      <c r="K129" s="1056"/>
      <c r="L129" s="1057"/>
      <c r="M129" s="377"/>
      <c r="N129" s="377"/>
      <c r="O129" s="377"/>
      <c r="P129" s="378"/>
      <c r="Q129" s="369"/>
      <c r="R129" s="370"/>
      <c r="S129" s="371"/>
      <c r="T129" s="371"/>
      <c r="U129" s="372"/>
      <c r="V129" s="373"/>
      <c r="W129" s="373"/>
      <c r="X129" s="373"/>
      <c r="Y129" s="373"/>
      <c r="Z129" s="373"/>
      <c r="AA129" s="373"/>
      <c r="AB129" s="373"/>
      <c r="AC129" s="373"/>
      <c r="AD129" s="373"/>
      <c r="AE129" s="373"/>
      <c r="AF129" s="373"/>
      <c r="AG129" s="373"/>
      <c r="AH129" s="373"/>
      <c r="AI129" s="373"/>
      <c r="AJ129" s="373"/>
      <c r="AK129" s="373"/>
      <c r="AL129" s="373"/>
      <c r="AM129" s="373"/>
      <c r="AN129" s="373"/>
      <c r="AO129" s="373"/>
      <c r="AP129" s="373"/>
      <c r="AQ129" s="373"/>
      <c r="AR129" s="373"/>
      <c r="AS129" s="373"/>
      <c r="AT129" s="373"/>
      <c r="AU129" s="373"/>
    </row>
    <row r="130" spans="1:50" s="563" customFormat="1" ht="13.5" customHeight="1">
      <c r="A130" s="1058"/>
      <c r="B130" s="557"/>
      <c r="C130" s="557"/>
      <c r="D130" s="542" t="s">
        <v>495</v>
      </c>
      <c r="E130" s="557"/>
      <c r="F130" s="559"/>
      <c r="G130" s="1020"/>
      <c r="H130" s="1020"/>
      <c r="I130" s="1059"/>
      <c r="J130" s="1060"/>
      <c r="K130" s="377"/>
      <c r="L130" s="1061"/>
      <c r="M130" s="1062"/>
      <c r="N130" s="1061"/>
      <c r="O130" s="1031"/>
      <c r="P130" s="1030"/>
      <c r="Q130" s="1063"/>
      <c r="R130" s="1064"/>
      <c r="S130" s="371"/>
      <c r="T130" s="372"/>
      <c r="U130" s="373"/>
      <c r="V130" s="374"/>
      <c r="W130" s="373"/>
      <c r="X130" s="373"/>
      <c r="Y130" s="373"/>
      <c r="Z130" s="373"/>
      <c r="AA130" s="373"/>
      <c r="AB130" s="373"/>
      <c r="AC130" s="373"/>
      <c r="AD130" s="373"/>
      <c r="AE130" s="373"/>
      <c r="AF130" s="373"/>
      <c r="AG130" s="373"/>
      <c r="AH130" s="373"/>
      <c r="AI130" s="373"/>
      <c r="AJ130" s="373"/>
      <c r="AK130" s="373"/>
      <c r="AL130" s="373"/>
      <c r="AM130" s="373"/>
      <c r="AN130" s="373"/>
      <c r="AO130" s="373"/>
      <c r="AP130" s="373"/>
      <c r="AQ130" s="373"/>
      <c r="AR130" s="373"/>
      <c r="AS130" s="373"/>
      <c r="AT130" s="373"/>
      <c r="AU130" s="373"/>
    </row>
    <row r="131" spans="1:50" s="563" customFormat="1" ht="13.5" customHeight="1">
      <c r="A131" s="1058"/>
      <c r="B131" s="557"/>
      <c r="C131" s="557"/>
      <c r="D131" s="542" t="s">
        <v>496</v>
      </c>
      <c r="E131" s="557"/>
      <c r="F131" s="559"/>
      <c r="G131" s="1020"/>
      <c r="H131" s="1020"/>
      <c r="I131" s="896"/>
      <c r="J131" s="1060"/>
      <c r="K131" s="377"/>
      <c r="L131" s="1061"/>
      <c r="M131" s="1062"/>
      <c r="N131" s="1061"/>
      <c r="O131" s="1031"/>
      <c r="P131" s="1030"/>
      <c r="Q131" s="1063"/>
      <c r="R131" s="1064"/>
      <c r="S131" s="371"/>
      <c r="T131" s="372"/>
      <c r="U131" s="373"/>
      <c r="V131" s="374"/>
      <c r="W131" s="373"/>
      <c r="X131" s="373"/>
      <c r="Y131" s="373"/>
      <c r="Z131" s="373"/>
      <c r="AA131" s="373"/>
      <c r="AB131" s="373"/>
      <c r="AC131" s="373"/>
      <c r="AD131" s="373"/>
      <c r="AE131" s="373"/>
      <c r="AF131" s="373"/>
      <c r="AG131" s="373"/>
      <c r="AH131" s="373"/>
      <c r="AI131" s="373"/>
      <c r="AJ131" s="373"/>
      <c r="AK131" s="373"/>
      <c r="AL131" s="373"/>
      <c r="AM131" s="373"/>
      <c r="AN131" s="373"/>
      <c r="AO131" s="373"/>
      <c r="AP131" s="373"/>
      <c r="AQ131" s="373"/>
      <c r="AR131" s="373"/>
      <c r="AS131" s="373"/>
      <c r="AT131" s="373"/>
      <c r="AU131" s="373"/>
    </row>
    <row r="132" spans="1:50" s="506" customFormat="1" ht="13.5" customHeight="1">
      <c r="A132" s="1065"/>
      <c r="B132" s="1066"/>
      <c r="C132" s="525" t="s">
        <v>128</v>
      </c>
      <c r="D132" s="525" t="s">
        <v>129</v>
      </c>
      <c r="E132" s="525"/>
      <c r="F132" s="1067"/>
      <c r="G132" s="935"/>
      <c r="H132" s="470">
        <f>SUM(H133:H155,H160:H162,H167:H169)</f>
        <v>0</v>
      </c>
      <c r="I132" s="893"/>
      <c r="J132" s="876"/>
      <c r="K132" s="867"/>
      <c r="L132" s="867"/>
      <c r="M132" s="867"/>
      <c r="N132" s="867"/>
      <c r="O132" s="868"/>
      <c r="P132" s="869"/>
      <c r="Q132" s="870"/>
      <c r="R132" s="670"/>
      <c r="S132" s="670"/>
      <c r="T132" s="671"/>
      <c r="U132" s="509"/>
      <c r="V132" s="691"/>
      <c r="W132" s="509"/>
      <c r="X132" s="509"/>
      <c r="Y132" s="509"/>
      <c r="Z132" s="509"/>
      <c r="AA132" s="509"/>
      <c r="AB132" s="509"/>
      <c r="AC132" s="509"/>
      <c r="AD132" s="509"/>
      <c r="AE132" s="509"/>
      <c r="AF132" s="509"/>
      <c r="AG132" s="509"/>
      <c r="AH132" s="509"/>
      <c r="AI132" s="509"/>
      <c r="AJ132" s="509"/>
      <c r="AK132" s="509"/>
      <c r="AL132" s="509"/>
      <c r="AM132" s="509"/>
      <c r="AN132" s="509"/>
      <c r="AO132" s="509"/>
      <c r="AP132" s="509"/>
      <c r="AQ132" s="509"/>
      <c r="AR132" s="509"/>
      <c r="AS132" s="509"/>
      <c r="AT132" s="509"/>
      <c r="AU132" s="509"/>
      <c r="AV132" s="508"/>
      <c r="AW132" s="508"/>
      <c r="AX132" s="508"/>
    </row>
    <row r="133" spans="1:50" s="508" customFormat="1" ht="27" customHeight="1">
      <c r="A133" s="530">
        <v>40</v>
      </c>
      <c r="B133" s="34">
        <v>221</v>
      </c>
      <c r="C133" s="34">
        <v>916131213</v>
      </c>
      <c r="D133" s="34" t="s">
        <v>181</v>
      </c>
      <c r="E133" s="34" t="s">
        <v>115</v>
      </c>
      <c r="F133" s="534">
        <f>SUM(F134)</f>
        <v>3</v>
      </c>
      <c r="G133" s="79"/>
      <c r="H133" s="532">
        <f>F133*G133</f>
        <v>0</v>
      </c>
      <c r="I133" s="533" t="s">
        <v>738</v>
      </c>
      <c r="J133" s="1068"/>
      <c r="K133" s="1069"/>
      <c r="L133" s="1070"/>
      <c r="M133" s="869"/>
      <c r="N133" s="869"/>
      <c r="O133" s="868"/>
      <c r="P133" s="1071"/>
      <c r="Q133" s="870"/>
      <c r="R133" s="670"/>
      <c r="S133" s="670"/>
      <c r="T133" s="671"/>
      <c r="U133" s="509"/>
      <c r="V133" s="509"/>
      <c r="W133" s="509"/>
      <c r="X133" s="509"/>
      <c r="Y133" s="509"/>
      <c r="Z133" s="509"/>
      <c r="AA133" s="509"/>
      <c r="AB133" s="509"/>
      <c r="AC133" s="509"/>
      <c r="AD133" s="509"/>
      <c r="AE133" s="509"/>
      <c r="AF133" s="509"/>
      <c r="AG133" s="509"/>
      <c r="AH133" s="509"/>
      <c r="AI133" s="509"/>
      <c r="AJ133" s="509"/>
      <c r="AK133" s="509"/>
      <c r="AL133" s="509"/>
      <c r="AM133" s="509"/>
      <c r="AN133" s="509"/>
      <c r="AO133" s="509"/>
      <c r="AP133" s="509"/>
      <c r="AQ133" s="509"/>
      <c r="AR133" s="509"/>
      <c r="AS133" s="509"/>
      <c r="AT133" s="509"/>
      <c r="AU133" s="509"/>
    </row>
    <row r="134" spans="1:50" s="508" customFormat="1" ht="13.5" customHeight="1">
      <c r="A134" s="530"/>
      <c r="B134" s="34"/>
      <c r="C134" s="34"/>
      <c r="D134" s="36" t="s">
        <v>833</v>
      </c>
      <c r="E134" s="34"/>
      <c r="F134" s="548">
        <f>3</f>
        <v>3</v>
      </c>
      <c r="G134" s="532"/>
      <c r="H134" s="532"/>
      <c r="I134" s="533"/>
      <c r="J134" s="1072"/>
      <c r="K134" s="1069"/>
      <c r="L134" s="1070"/>
      <c r="M134" s="869"/>
      <c r="N134" s="869"/>
      <c r="O134" s="868"/>
      <c r="P134" s="1072"/>
      <c r="Q134" s="870"/>
      <c r="R134" s="670"/>
      <c r="S134" s="670"/>
      <c r="T134" s="671"/>
      <c r="U134" s="509"/>
      <c r="V134" s="509"/>
      <c r="W134" s="509"/>
      <c r="X134" s="509"/>
      <c r="Y134" s="509"/>
      <c r="Z134" s="509"/>
      <c r="AA134" s="509"/>
      <c r="AB134" s="509"/>
      <c r="AC134" s="509"/>
      <c r="AD134" s="509"/>
      <c r="AE134" s="509"/>
      <c r="AF134" s="509"/>
      <c r="AG134" s="509"/>
      <c r="AH134" s="509"/>
      <c r="AI134" s="509"/>
      <c r="AJ134" s="509"/>
      <c r="AK134" s="509"/>
      <c r="AL134" s="509"/>
      <c r="AM134" s="509"/>
      <c r="AN134" s="509"/>
      <c r="AO134" s="509"/>
      <c r="AP134" s="509"/>
      <c r="AQ134" s="509"/>
      <c r="AR134" s="509"/>
      <c r="AS134" s="509"/>
      <c r="AT134" s="509"/>
      <c r="AU134" s="509"/>
    </row>
    <row r="135" spans="1:50" s="541" customFormat="1" ht="27" customHeight="1">
      <c r="A135" s="1073">
        <v>41</v>
      </c>
      <c r="B135" s="1074">
        <v>221</v>
      </c>
      <c r="C135" s="537">
        <v>916331112</v>
      </c>
      <c r="D135" s="537" t="s">
        <v>245</v>
      </c>
      <c r="E135" s="537" t="s">
        <v>115</v>
      </c>
      <c r="F135" s="565">
        <f>F136</f>
        <v>5.5</v>
      </c>
      <c r="G135" s="90"/>
      <c r="H135" s="539">
        <f>F135*G135</f>
        <v>0</v>
      </c>
      <c r="I135" s="533" t="s">
        <v>738</v>
      </c>
      <c r="J135" s="1075"/>
      <c r="K135" s="879"/>
      <c r="L135" s="879"/>
      <c r="M135" s="879"/>
      <c r="N135" s="879"/>
      <c r="O135" s="668"/>
      <c r="P135" s="668"/>
      <c r="Q135" s="689"/>
      <c r="R135" s="670"/>
      <c r="S135" s="670"/>
      <c r="T135" s="671"/>
      <c r="U135" s="509"/>
      <c r="V135" s="691"/>
      <c r="W135" s="509"/>
      <c r="X135" s="509"/>
      <c r="Y135" s="509"/>
      <c r="Z135" s="509"/>
      <c r="AA135" s="509"/>
      <c r="AB135" s="509"/>
      <c r="AC135" s="509"/>
      <c r="AD135" s="509"/>
      <c r="AE135" s="509"/>
      <c r="AF135" s="509"/>
      <c r="AG135" s="509"/>
      <c r="AH135" s="509"/>
      <c r="AI135" s="509"/>
      <c r="AJ135" s="509"/>
      <c r="AK135" s="509"/>
      <c r="AL135" s="509"/>
      <c r="AM135" s="509"/>
      <c r="AN135" s="509"/>
      <c r="AO135" s="509"/>
      <c r="AP135" s="509"/>
      <c r="AQ135" s="509"/>
      <c r="AR135" s="509"/>
      <c r="AS135" s="509"/>
      <c r="AT135" s="509"/>
      <c r="AU135" s="509"/>
      <c r="AV135" s="508"/>
      <c r="AW135" s="508"/>
      <c r="AX135" s="508"/>
    </row>
    <row r="136" spans="1:50" s="541" customFormat="1" ht="13.5" customHeight="1">
      <c r="A136" s="1073"/>
      <c r="B136" s="537"/>
      <c r="C136" s="537"/>
      <c r="D136" s="36" t="s">
        <v>834</v>
      </c>
      <c r="E136" s="537"/>
      <c r="F136" s="1076">
        <f>5.5</f>
        <v>5.5</v>
      </c>
      <c r="G136" s="539"/>
      <c r="H136" s="539"/>
      <c r="I136" s="545"/>
      <c r="J136" s="884"/>
      <c r="K136" s="885"/>
      <c r="L136" s="886"/>
      <c r="M136" s="887"/>
      <c r="N136" s="887"/>
      <c r="O136" s="888"/>
      <c r="P136" s="887"/>
      <c r="Q136" s="884"/>
      <c r="R136" s="889"/>
      <c r="S136" s="586"/>
      <c r="T136" s="452"/>
      <c r="U136" s="452"/>
      <c r="V136" s="452"/>
      <c r="W136" s="452"/>
      <c r="X136" s="452"/>
      <c r="Y136" s="452"/>
      <c r="Z136" s="452"/>
      <c r="AA136" s="452"/>
      <c r="AB136" s="452"/>
      <c r="AC136" s="452"/>
      <c r="AD136" s="452"/>
      <c r="AE136" s="452"/>
      <c r="AF136" s="452"/>
      <c r="AG136" s="452"/>
      <c r="AH136" s="452"/>
      <c r="AI136" s="452"/>
      <c r="AJ136" s="452"/>
      <c r="AK136" s="452"/>
      <c r="AL136" s="452"/>
      <c r="AM136" s="452"/>
      <c r="AN136" s="452"/>
      <c r="AO136" s="452"/>
      <c r="AP136" s="452"/>
      <c r="AQ136" s="452"/>
      <c r="AR136" s="452"/>
      <c r="AS136" s="452"/>
      <c r="AT136" s="452"/>
      <c r="AU136" s="452"/>
    </row>
    <row r="137" spans="1:50" s="335" customFormat="1" ht="27" customHeight="1">
      <c r="A137" s="329" t="s">
        <v>653</v>
      </c>
      <c r="B137" s="330" t="s">
        <v>182</v>
      </c>
      <c r="C137" s="85" t="s">
        <v>239</v>
      </c>
      <c r="D137" s="85" t="s">
        <v>504</v>
      </c>
      <c r="E137" s="85" t="s">
        <v>115</v>
      </c>
      <c r="F137" s="363">
        <f>SUM(F138:F138)</f>
        <v>3</v>
      </c>
      <c r="G137" s="86"/>
      <c r="H137" s="380">
        <f>F137*G137</f>
        <v>0</v>
      </c>
      <c r="I137" s="896" t="s">
        <v>739</v>
      </c>
      <c r="J137" s="897"/>
      <c r="K137" s="333"/>
      <c r="L137" s="333"/>
      <c r="M137" s="333"/>
      <c r="N137" s="333"/>
      <c r="O137" s="333"/>
      <c r="P137" s="333"/>
      <c r="Q137" s="333"/>
      <c r="R137" s="333"/>
      <c r="S137" s="333"/>
      <c r="T137" s="333"/>
      <c r="U137" s="333"/>
      <c r="V137" s="333"/>
      <c r="W137" s="333"/>
      <c r="X137" s="333"/>
      <c r="Y137" s="333"/>
      <c r="Z137" s="333"/>
      <c r="AA137" s="333"/>
      <c r="AB137" s="333"/>
      <c r="AC137" s="333"/>
      <c r="AD137" s="333"/>
      <c r="AE137" s="333"/>
      <c r="AF137" s="333"/>
      <c r="AG137" s="333"/>
      <c r="AH137" s="333"/>
      <c r="AI137" s="333"/>
      <c r="AJ137" s="333"/>
      <c r="AK137" s="333"/>
      <c r="AL137" s="333"/>
      <c r="AM137" s="333"/>
      <c r="AN137" s="333"/>
      <c r="AO137" s="333"/>
      <c r="AP137" s="333"/>
      <c r="AQ137" s="333"/>
      <c r="AR137" s="333"/>
      <c r="AS137" s="333"/>
      <c r="AT137" s="333"/>
      <c r="AU137" s="333"/>
    </row>
    <row r="138" spans="1:50" s="335" customFormat="1" ht="13.5" customHeight="1">
      <c r="A138" s="1077"/>
      <c r="B138" s="1078"/>
      <c r="C138" s="1079"/>
      <c r="D138" s="1080" t="s">
        <v>505</v>
      </c>
      <c r="E138" s="1079"/>
      <c r="F138" s="1081">
        <f>(1.5)*2</f>
        <v>3</v>
      </c>
      <c r="G138" s="380"/>
      <c r="H138" s="1082"/>
      <c r="I138" s="332"/>
      <c r="J138" s="1083"/>
      <c r="K138" s="333"/>
      <c r="L138" s="333"/>
      <c r="M138" s="333"/>
      <c r="N138" s="333"/>
      <c r="O138" s="333"/>
      <c r="P138" s="333"/>
      <c r="Q138" s="333"/>
      <c r="R138" s="333"/>
      <c r="S138" s="333"/>
      <c r="T138" s="333"/>
      <c r="U138" s="333"/>
      <c r="V138" s="333"/>
      <c r="W138" s="333"/>
      <c r="X138" s="333"/>
      <c r="Y138" s="333"/>
      <c r="Z138" s="333"/>
      <c r="AA138" s="333"/>
      <c r="AB138" s="333"/>
      <c r="AC138" s="333"/>
      <c r="AD138" s="333"/>
      <c r="AE138" s="333"/>
      <c r="AF138" s="333"/>
      <c r="AG138" s="333"/>
      <c r="AH138" s="333"/>
      <c r="AI138" s="333"/>
      <c r="AJ138" s="333"/>
      <c r="AK138" s="333"/>
      <c r="AL138" s="333"/>
      <c r="AM138" s="333"/>
      <c r="AN138" s="333"/>
      <c r="AO138" s="333"/>
      <c r="AP138" s="333"/>
      <c r="AQ138" s="333"/>
      <c r="AR138" s="333"/>
      <c r="AS138" s="333"/>
      <c r="AT138" s="333"/>
      <c r="AU138" s="333"/>
    </row>
    <row r="139" spans="1:50" s="1085" customFormat="1" ht="94.5" customHeight="1">
      <c r="A139" s="1077"/>
      <c r="B139" s="1078"/>
      <c r="C139" s="1079"/>
      <c r="D139" s="1084" t="s">
        <v>503</v>
      </c>
      <c r="E139" s="1079"/>
      <c r="G139" s="380"/>
      <c r="H139" s="1082"/>
      <c r="I139" s="332"/>
      <c r="J139" s="1086"/>
      <c r="K139" s="465"/>
      <c r="L139" s="465"/>
      <c r="M139" s="465"/>
      <c r="N139" s="465"/>
      <c r="O139" s="465"/>
      <c r="P139" s="465"/>
      <c r="Q139" s="465"/>
      <c r="R139" s="1087"/>
      <c r="S139" s="465"/>
      <c r="T139" s="465"/>
      <c r="U139" s="465"/>
      <c r="V139" s="465"/>
      <c r="W139" s="465"/>
      <c r="X139" s="465"/>
      <c r="Y139" s="465"/>
      <c r="Z139" s="465"/>
      <c r="AA139" s="465"/>
      <c r="AB139" s="465"/>
      <c r="AC139" s="465"/>
      <c r="AD139" s="465"/>
      <c r="AE139" s="465"/>
      <c r="AF139" s="465"/>
      <c r="AG139" s="465"/>
      <c r="AH139" s="465"/>
      <c r="AI139" s="465"/>
      <c r="AJ139" s="465"/>
      <c r="AK139" s="465"/>
      <c r="AL139" s="465"/>
      <c r="AM139" s="465"/>
      <c r="AN139" s="465"/>
      <c r="AO139" s="465"/>
      <c r="AP139" s="465"/>
      <c r="AQ139" s="465"/>
      <c r="AR139" s="465"/>
      <c r="AS139" s="465"/>
      <c r="AT139" s="465"/>
      <c r="AU139" s="465"/>
    </row>
    <row r="140" spans="1:50" s="335" customFormat="1" ht="67.5" customHeight="1">
      <c r="A140" s="1088"/>
      <c r="B140" s="1089"/>
      <c r="C140" s="1090"/>
      <c r="D140" s="807" t="s">
        <v>392</v>
      </c>
      <c r="E140" s="1080"/>
      <c r="F140" s="1091"/>
      <c r="G140" s="1092"/>
      <c r="H140" s="1082"/>
      <c r="I140" s="1093"/>
      <c r="J140" s="466"/>
      <c r="K140" s="333"/>
      <c r="L140" s="333"/>
      <c r="M140" s="333"/>
      <c r="N140" s="333"/>
      <c r="O140" s="333"/>
      <c r="P140" s="333"/>
      <c r="Q140" s="333"/>
      <c r="R140" s="333"/>
      <c r="S140" s="333"/>
      <c r="T140" s="333"/>
      <c r="U140" s="333"/>
      <c r="V140" s="333"/>
      <c r="W140" s="333"/>
      <c r="X140" s="333"/>
      <c r="Y140" s="333"/>
      <c r="Z140" s="333"/>
      <c r="AA140" s="333"/>
      <c r="AB140" s="333"/>
      <c r="AC140" s="333"/>
      <c r="AD140" s="333"/>
      <c r="AE140" s="333"/>
      <c r="AF140" s="333"/>
      <c r="AG140" s="333"/>
      <c r="AH140" s="333"/>
      <c r="AI140" s="333"/>
      <c r="AJ140" s="333"/>
      <c r="AK140" s="333"/>
      <c r="AL140" s="333"/>
      <c r="AM140" s="333"/>
      <c r="AN140" s="333"/>
      <c r="AO140" s="333"/>
      <c r="AP140" s="333"/>
      <c r="AQ140" s="333"/>
      <c r="AR140" s="333"/>
      <c r="AS140" s="333"/>
      <c r="AT140" s="333"/>
      <c r="AU140" s="333"/>
    </row>
    <row r="141" spans="1:50" s="563" customFormat="1" ht="27" customHeight="1">
      <c r="A141" s="894">
        <v>43</v>
      </c>
      <c r="B141" s="556" t="s">
        <v>182</v>
      </c>
      <c r="C141" s="557" t="s">
        <v>240</v>
      </c>
      <c r="D141" s="557" t="s">
        <v>241</v>
      </c>
      <c r="E141" s="557" t="s">
        <v>115</v>
      </c>
      <c r="F141" s="895">
        <f>SUM(F142:F142)</f>
        <v>13.6</v>
      </c>
      <c r="G141" s="125"/>
      <c r="H141" s="560">
        <f>F141*G141</f>
        <v>0</v>
      </c>
      <c r="I141" s="896" t="s">
        <v>739</v>
      </c>
      <c r="J141" s="897"/>
      <c r="K141" s="879"/>
      <c r="L141" s="879"/>
      <c r="M141" s="879"/>
      <c r="N141" s="879"/>
      <c r="O141" s="668"/>
      <c r="P141" s="668"/>
      <c r="Q141" s="689"/>
      <c r="R141" s="670"/>
      <c r="S141" s="670"/>
      <c r="T141" s="671"/>
      <c r="U141" s="509"/>
      <c r="V141" s="691"/>
      <c r="W141" s="509"/>
      <c r="X141" s="509"/>
      <c r="Y141" s="509"/>
      <c r="Z141" s="509"/>
      <c r="AA141" s="509"/>
      <c r="AB141" s="509"/>
      <c r="AC141" s="509"/>
      <c r="AD141" s="509"/>
      <c r="AE141" s="509"/>
      <c r="AF141" s="509"/>
      <c r="AG141" s="509"/>
      <c r="AH141" s="509"/>
      <c r="AI141" s="509"/>
      <c r="AJ141" s="509"/>
      <c r="AK141" s="509"/>
      <c r="AL141" s="509"/>
      <c r="AM141" s="509"/>
      <c r="AN141" s="509"/>
      <c r="AO141" s="509"/>
      <c r="AP141" s="509"/>
      <c r="AQ141" s="509"/>
      <c r="AR141" s="509"/>
      <c r="AS141" s="509"/>
      <c r="AT141" s="509"/>
      <c r="AU141" s="509"/>
      <c r="AV141" s="508"/>
      <c r="AW141" s="508"/>
      <c r="AX141" s="508"/>
    </row>
    <row r="142" spans="1:50" s="563" customFormat="1" ht="13.5" customHeight="1">
      <c r="A142" s="894"/>
      <c r="B142" s="556"/>
      <c r="C142" s="557"/>
      <c r="D142" s="558" t="s">
        <v>502</v>
      </c>
      <c r="E142" s="557"/>
      <c r="F142" s="559">
        <f>(6.8)*2</f>
        <v>13.6</v>
      </c>
      <c r="G142" s="560"/>
      <c r="H142" s="560"/>
      <c r="I142" s="896"/>
      <c r="J142" s="884"/>
      <c r="K142" s="885"/>
      <c r="L142" s="886"/>
      <c r="M142" s="887"/>
      <c r="N142" s="887"/>
      <c r="O142" s="888"/>
      <c r="P142" s="887"/>
      <c r="Q142" s="884"/>
      <c r="R142" s="889"/>
      <c r="S142" s="586"/>
      <c r="T142" s="452"/>
      <c r="U142" s="452"/>
      <c r="V142" s="452"/>
      <c r="W142" s="452"/>
      <c r="X142" s="452"/>
      <c r="Y142" s="452"/>
      <c r="Z142" s="452"/>
      <c r="AA142" s="452"/>
      <c r="AB142" s="452"/>
      <c r="AC142" s="452"/>
      <c r="AD142" s="452"/>
      <c r="AE142" s="452"/>
      <c r="AF142" s="452"/>
      <c r="AG142" s="452"/>
      <c r="AH142" s="452"/>
      <c r="AI142" s="452"/>
      <c r="AJ142" s="452"/>
      <c r="AK142" s="452"/>
      <c r="AL142" s="452"/>
      <c r="AM142" s="452"/>
      <c r="AN142" s="452"/>
      <c r="AO142" s="452"/>
      <c r="AP142" s="452"/>
      <c r="AQ142" s="452"/>
      <c r="AR142" s="452"/>
      <c r="AS142" s="452"/>
      <c r="AT142" s="452"/>
      <c r="AU142" s="452"/>
      <c r="AV142" s="541"/>
      <c r="AW142" s="541"/>
      <c r="AX142" s="541"/>
    </row>
    <row r="143" spans="1:50" s="900" customFormat="1" ht="108" customHeight="1">
      <c r="A143" s="894"/>
      <c r="B143" s="556"/>
      <c r="C143" s="557"/>
      <c r="D143" s="898" t="s">
        <v>242</v>
      </c>
      <c r="E143" s="557"/>
      <c r="F143" s="899"/>
      <c r="G143" s="560"/>
      <c r="H143" s="560"/>
      <c r="I143" s="896"/>
      <c r="J143" s="879"/>
      <c r="K143" s="879"/>
      <c r="L143" s="879"/>
      <c r="M143" s="879"/>
      <c r="N143" s="879"/>
      <c r="O143" s="890"/>
      <c r="P143" s="668"/>
      <c r="Q143" s="689"/>
      <c r="R143" s="670"/>
      <c r="S143" s="670"/>
      <c r="T143" s="671"/>
      <c r="U143" s="509"/>
      <c r="V143" s="691"/>
      <c r="W143" s="509"/>
      <c r="X143" s="509"/>
      <c r="Y143" s="509"/>
      <c r="Z143" s="509"/>
      <c r="AA143" s="509"/>
      <c r="AB143" s="509"/>
      <c r="AC143" s="509"/>
      <c r="AD143" s="509"/>
      <c r="AE143" s="509"/>
      <c r="AF143" s="509"/>
      <c r="AG143" s="509"/>
      <c r="AH143" s="509"/>
      <c r="AI143" s="509"/>
      <c r="AJ143" s="509"/>
      <c r="AK143" s="509"/>
      <c r="AL143" s="509"/>
      <c r="AM143" s="509"/>
      <c r="AN143" s="509"/>
      <c r="AO143" s="509"/>
      <c r="AP143" s="509"/>
      <c r="AQ143" s="509"/>
      <c r="AR143" s="509"/>
      <c r="AS143" s="509"/>
      <c r="AT143" s="509"/>
      <c r="AU143" s="509"/>
      <c r="AV143" s="508"/>
      <c r="AW143" s="508"/>
      <c r="AX143" s="508"/>
    </row>
    <row r="144" spans="1:50" s="563" customFormat="1" ht="67.5" customHeight="1">
      <c r="A144" s="901"/>
      <c r="B144" s="902"/>
      <c r="C144" s="903"/>
      <c r="D144" s="388" t="s">
        <v>195</v>
      </c>
      <c r="E144" s="558"/>
      <c r="F144" s="904"/>
      <c r="G144" s="905"/>
      <c r="H144" s="560"/>
      <c r="I144" s="906"/>
      <c r="J144" s="878"/>
      <c r="K144" s="879"/>
      <c r="L144" s="879"/>
      <c r="M144" s="879"/>
      <c r="N144" s="879"/>
      <c r="O144" s="668"/>
      <c r="P144" s="668"/>
      <c r="Q144" s="689"/>
      <c r="R144" s="670"/>
      <c r="S144" s="670"/>
      <c r="T144" s="671"/>
      <c r="U144" s="509"/>
      <c r="V144" s="691"/>
      <c r="W144" s="509"/>
      <c r="X144" s="509"/>
      <c r="Y144" s="509"/>
      <c r="Z144" s="509"/>
      <c r="AA144" s="509"/>
      <c r="AB144" s="509"/>
      <c r="AC144" s="509"/>
      <c r="AD144" s="509"/>
      <c r="AE144" s="509"/>
      <c r="AF144" s="509"/>
      <c r="AG144" s="509"/>
      <c r="AH144" s="509"/>
      <c r="AI144" s="509"/>
      <c r="AJ144" s="509"/>
      <c r="AK144" s="509"/>
      <c r="AL144" s="509"/>
      <c r="AM144" s="509"/>
      <c r="AN144" s="509"/>
      <c r="AO144" s="509"/>
      <c r="AP144" s="509"/>
      <c r="AQ144" s="509"/>
      <c r="AR144" s="509"/>
      <c r="AS144" s="509"/>
      <c r="AT144" s="509"/>
      <c r="AU144" s="509"/>
      <c r="AV144" s="508"/>
      <c r="AW144" s="508"/>
      <c r="AX144" s="508"/>
    </row>
    <row r="145" spans="1:256" s="541" customFormat="1" ht="13.5" customHeight="1">
      <c r="A145" s="564" t="s">
        <v>451</v>
      </c>
      <c r="B145" s="536" t="s">
        <v>182</v>
      </c>
      <c r="C145" s="537" t="s">
        <v>253</v>
      </c>
      <c r="D145" s="537" t="s">
        <v>252</v>
      </c>
      <c r="E145" s="537" t="s">
        <v>98</v>
      </c>
      <c r="F145" s="565">
        <f>F147</f>
        <v>1.1000000000000001</v>
      </c>
      <c r="G145" s="115"/>
      <c r="H145" s="907">
        <f>F145*G145</f>
        <v>0</v>
      </c>
      <c r="I145" s="896" t="s">
        <v>739</v>
      </c>
      <c r="J145" s="908"/>
      <c r="K145" s="909"/>
      <c r="L145" s="910"/>
      <c r="M145" s="911"/>
      <c r="N145" s="911"/>
      <c r="O145" s="911"/>
      <c r="P145" s="912"/>
      <c r="Q145" s="913"/>
      <c r="R145" s="913"/>
      <c r="S145" s="574"/>
      <c r="T145" s="452"/>
      <c r="U145" s="452"/>
      <c r="V145" s="452"/>
      <c r="W145" s="452"/>
      <c r="X145" s="452"/>
      <c r="Y145" s="452"/>
      <c r="Z145" s="452"/>
      <c r="AA145" s="452"/>
      <c r="AB145" s="452"/>
      <c r="AC145" s="452"/>
      <c r="AD145" s="452"/>
      <c r="AE145" s="452"/>
      <c r="AF145" s="452"/>
      <c r="AG145" s="452"/>
      <c r="AH145" s="452"/>
      <c r="AI145" s="452"/>
      <c r="AJ145" s="452"/>
      <c r="AK145" s="452"/>
      <c r="AL145" s="452"/>
      <c r="AM145" s="452"/>
      <c r="AN145" s="452"/>
      <c r="AO145" s="452"/>
      <c r="AP145" s="452"/>
      <c r="AQ145" s="452"/>
      <c r="AR145" s="452"/>
      <c r="AS145" s="452"/>
      <c r="AT145" s="452"/>
      <c r="AU145" s="452"/>
    </row>
    <row r="146" spans="1:256" s="541" customFormat="1" ht="40.5" customHeight="1">
      <c r="A146" s="535"/>
      <c r="B146" s="537"/>
      <c r="C146" s="537"/>
      <c r="D146" s="542" t="s">
        <v>452</v>
      </c>
      <c r="E146" s="537"/>
      <c r="F146" s="543"/>
      <c r="G146" s="907"/>
      <c r="H146" s="907"/>
      <c r="I146" s="914"/>
      <c r="J146" s="908"/>
      <c r="K146" s="909"/>
      <c r="L146" s="459"/>
      <c r="M146" s="459"/>
      <c r="N146" s="459"/>
      <c r="O146" s="915"/>
      <c r="P146" s="459"/>
      <c r="Q146" s="459"/>
      <c r="R146" s="916"/>
      <c r="S146" s="574"/>
      <c r="T146" s="452"/>
      <c r="U146" s="452"/>
      <c r="V146" s="452"/>
      <c r="W146" s="452"/>
      <c r="X146" s="452"/>
      <c r="Y146" s="452"/>
      <c r="Z146" s="452"/>
      <c r="AA146" s="452"/>
      <c r="AB146" s="452"/>
      <c r="AC146" s="452"/>
      <c r="AD146" s="452"/>
      <c r="AE146" s="452"/>
      <c r="AF146" s="452"/>
      <c r="AG146" s="452"/>
      <c r="AH146" s="452"/>
      <c r="AI146" s="452"/>
      <c r="AJ146" s="452"/>
      <c r="AK146" s="452"/>
      <c r="AL146" s="452"/>
      <c r="AM146" s="452"/>
      <c r="AN146" s="452"/>
      <c r="AO146" s="452"/>
      <c r="AP146" s="452"/>
      <c r="AQ146" s="452"/>
      <c r="AR146" s="452"/>
      <c r="AS146" s="452"/>
      <c r="AT146" s="452"/>
      <c r="AU146" s="452"/>
    </row>
    <row r="147" spans="1:256" s="541" customFormat="1" ht="13.5" customHeight="1">
      <c r="A147" s="564"/>
      <c r="B147" s="536"/>
      <c r="C147" s="537"/>
      <c r="D147" s="542" t="s">
        <v>454</v>
      </c>
      <c r="E147" s="537"/>
      <c r="F147" s="543">
        <f>((1)*1)*1.1</f>
        <v>1.1000000000000001</v>
      </c>
      <c r="G147" s="907"/>
      <c r="H147" s="907"/>
      <c r="I147" s="917"/>
      <c r="J147" s="908"/>
      <c r="K147" s="909"/>
      <c r="L147" s="459"/>
      <c r="M147" s="459"/>
      <c r="N147" s="459"/>
      <c r="O147" s="459"/>
      <c r="P147" s="459"/>
      <c r="Q147" s="459"/>
      <c r="R147" s="916"/>
      <c r="S147" s="574"/>
      <c r="T147" s="452"/>
      <c r="U147" s="452"/>
      <c r="V147" s="452"/>
      <c r="W147" s="452"/>
      <c r="X147" s="452"/>
      <c r="Y147" s="452"/>
      <c r="Z147" s="452"/>
      <c r="AA147" s="452"/>
      <c r="AB147" s="452"/>
      <c r="AC147" s="452"/>
      <c r="AD147" s="452"/>
      <c r="AE147" s="452"/>
      <c r="AF147" s="452"/>
      <c r="AG147" s="452"/>
      <c r="AH147" s="452"/>
      <c r="AI147" s="452"/>
      <c r="AJ147" s="452"/>
      <c r="AK147" s="452"/>
      <c r="AL147" s="452"/>
      <c r="AM147" s="452"/>
      <c r="AN147" s="452"/>
      <c r="AO147" s="452"/>
      <c r="AP147" s="452"/>
      <c r="AQ147" s="452"/>
      <c r="AR147" s="452"/>
      <c r="AS147" s="452"/>
      <c r="AT147" s="452"/>
      <c r="AU147" s="452"/>
    </row>
    <row r="148" spans="1:256" s="541" customFormat="1" ht="15">
      <c r="A148" s="564"/>
      <c r="B148" s="536"/>
      <c r="C148" s="537"/>
      <c r="D148" s="542" t="s">
        <v>453</v>
      </c>
      <c r="E148" s="537"/>
      <c r="F148" s="543"/>
      <c r="G148" s="907"/>
      <c r="H148" s="907"/>
      <c r="I148" s="918"/>
      <c r="J148" s="908"/>
      <c r="K148" s="909"/>
      <c r="L148" s="459"/>
      <c r="M148" s="459"/>
      <c r="N148" s="459"/>
      <c r="O148" s="459"/>
      <c r="P148" s="459"/>
      <c r="Q148" s="459"/>
      <c r="R148" s="916"/>
      <c r="S148" s="574"/>
      <c r="T148" s="452"/>
      <c r="U148" s="452"/>
      <c r="V148" s="452"/>
      <c r="W148" s="452"/>
      <c r="X148" s="452"/>
      <c r="Y148" s="452"/>
      <c r="Z148" s="452"/>
      <c r="AA148" s="452"/>
      <c r="AB148" s="452"/>
      <c r="AC148" s="452"/>
      <c r="AD148" s="452"/>
      <c r="AE148" s="452"/>
      <c r="AF148" s="452"/>
      <c r="AG148" s="452"/>
      <c r="AH148" s="452"/>
      <c r="AI148" s="452"/>
      <c r="AJ148" s="452"/>
      <c r="AK148" s="452"/>
      <c r="AL148" s="452"/>
      <c r="AM148" s="452"/>
      <c r="AN148" s="452"/>
      <c r="AO148" s="452"/>
      <c r="AP148" s="452"/>
      <c r="AQ148" s="452"/>
      <c r="AR148" s="452"/>
      <c r="AS148" s="452"/>
      <c r="AT148" s="452"/>
      <c r="AU148" s="452"/>
    </row>
    <row r="149" spans="1:256" s="563" customFormat="1" ht="67.5" customHeight="1">
      <c r="A149" s="901"/>
      <c r="B149" s="902"/>
      <c r="C149" s="903"/>
      <c r="D149" s="388" t="s">
        <v>195</v>
      </c>
      <c r="E149" s="558"/>
      <c r="F149" s="904"/>
      <c r="G149" s="905"/>
      <c r="H149" s="560"/>
      <c r="I149" s="1094"/>
      <c r="J149" s="919"/>
      <c r="K149" s="920"/>
      <c r="L149" s="887"/>
      <c r="M149" s="921"/>
      <c r="N149" s="921"/>
      <c r="O149" s="921"/>
      <c r="P149" s="922"/>
      <c r="Q149" s="923"/>
      <c r="R149" s="923"/>
      <c r="S149" s="574"/>
      <c r="T149" s="373"/>
      <c r="U149" s="373"/>
      <c r="V149" s="374"/>
      <c r="W149" s="373"/>
      <c r="X149" s="373"/>
      <c r="Y149" s="373"/>
      <c r="Z149" s="373"/>
      <c r="AA149" s="373"/>
      <c r="AB149" s="373"/>
      <c r="AC149" s="373"/>
      <c r="AD149" s="373"/>
      <c r="AE149" s="373"/>
      <c r="AF149" s="373"/>
      <c r="AG149" s="373"/>
      <c r="AH149" s="373"/>
      <c r="AI149" s="373"/>
      <c r="AJ149" s="373"/>
      <c r="AK149" s="373"/>
      <c r="AL149" s="373"/>
      <c r="AM149" s="373"/>
      <c r="AN149" s="373"/>
      <c r="AO149" s="373"/>
      <c r="AP149" s="373"/>
      <c r="AQ149" s="373"/>
      <c r="AR149" s="373"/>
      <c r="AS149" s="373"/>
      <c r="AT149" s="373"/>
      <c r="AU149" s="373"/>
    </row>
    <row r="150" spans="1:256" s="563" customFormat="1" ht="13.5" customHeight="1">
      <c r="A150" s="1095">
        <v>45</v>
      </c>
      <c r="B150" s="1074">
        <v>221</v>
      </c>
      <c r="C150" s="1074">
        <v>979024441</v>
      </c>
      <c r="D150" s="1074" t="s">
        <v>244</v>
      </c>
      <c r="E150" s="1074" t="s">
        <v>115</v>
      </c>
      <c r="F150" s="1096">
        <f>SUM(F151:F151)</f>
        <v>5.5</v>
      </c>
      <c r="G150" s="1112"/>
      <c r="H150" s="1097">
        <f>F150*G150</f>
        <v>0</v>
      </c>
      <c r="I150" s="533" t="s">
        <v>738</v>
      </c>
      <c r="J150" s="373"/>
      <c r="K150" s="1027"/>
      <c r="L150" s="1028"/>
      <c r="M150" s="1029"/>
      <c r="N150" s="1030"/>
      <c r="O150" s="1030"/>
      <c r="P150" s="1031"/>
      <c r="Q150" s="1030"/>
      <c r="R150" s="1032"/>
      <c r="S150" s="889"/>
      <c r="T150" s="371"/>
      <c r="U150" s="372"/>
      <c r="V150" s="373"/>
      <c r="W150" s="373"/>
      <c r="X150" s="373"/>
      <c r="Y150" s="373"/>
      <c r="Z150" s="373"/>
      <c r="AA150" s="373"/>
      <c r="AB150" s="373"/>
      <c r="AC150" s="373"/>
      <c r="AD150" s="373"/>
      <c r="AE150" s="373"/>
      <c r="AF150" s="373"/>
      <c r="AG150" s="373"/>
      <c r="AH150" s="373"/>
      <c r="AI150" s="373"/>
      <c r="AJ150" s="373"/>
      <c r="AK150" s="373"/>
      <c r="AL150" s="373"/>
      <c r="AM150" s="373"/>
      <c r="AN150" s="373"/>
      <c r="AO150" s="373"/>
      <c r="AP150" s="373"/>
      <c r="AQ150" s="373"/>
      <c r="AR150" s="373"/>
      <c r="AS150" s="373"/>
      <c r="AT150" s="373"/>
      <c r="AU150" s="373"/>
      <c r="AY150" s="663"/>
      <c r="AZ150" s="663"/>
      <c r="BA150" s="663"/>
      <c r="BB150" s="663"/>
      <c r="BC150" s="663"/>
      <c r="BD150" s="663"/>
      <c r="BE150" s="663"/>
      <c r="BF150" s="663"/>
      <c r="BG150" s="663"/>
      <c r="BH150" s="663"/>
      <c r="BI150" s="663"/>
      <c r="BJ150" s="663"/>
      <c r="BK150" s="663"/>
      <c r="BL150" s="663"/>
      <c r="BM150" s="663"/>
      <c r="BN150" s="663"/>
      <c r="BO150" s="663"/>
      <c r="BP150" s="663"/>
      <c r="BQ150" s="663"/>
      <c r="BR150" s="663"/>
      <c r="BS150" s="663"/>
      <c r="BT150" s="663"/>
      <c r="BU150" s="663"/>
      <c r="BV150" s="663"/>
      <c r="BW150" s="663"/>
      <c r="BX150" s="663"/>
      <c r="BY150" s="663"/>
      <c r="BZ150" s="663"/>
      <c r="CA150" s="663"/>
      <c r="CB150" s="663"/>
      <c r="CC150" s="663"/>
      <c r="CD150" s="663"/>
      <c r="CE150" s="663"/>
      <c r="CF150" s="663"/>
      <c r="CG150" s="663"/>
      <c r="CH150" s="663"/>
      <c r="CI150" s="663"/>
      <c r="CJ150" s="663"/>
      <c r="CK150" s="663"/>
      <c r="CL150" s="663"/>
      <c r="CM150" s="663"/>
      <c r="CN150" s="663"/>
      <c r="CO150" s="663"/>
      <c r="CP150" s="663"/>
      <c r="CQ150" s="663"/>
      <c r="CR150" s="663"/>
      <c r="CS150" s="663"/>
      <c r="CT150" s="663"/>
      <c r="CU150" s="663"/>
      <c r="CV150" s="663"/>
      <c r="CW150" s="663"/>
      <c r="CX150" s="663"/>
      <c r="CY150" s="663"/>
      <c r="CZ150" s="663"/>
      <c r="DA150" s="663"/>
      <c r="DB150" s="663"/>
      <c r="DC150" s="663"/>
      <c r="DD150" s="663"/>
      <c r="DE150" s="663"/>
      <c r="DF150" s="663"/>
      <c r="DG150" s="663"/>
      <c r="DH150" s="663"/>
      <c r="DI150" s="663"/>
      <c r="DJ150" s="663"/>
      <c r="DK150" s="663"/>
      <c r="DL150" s="663"/>
      <c r="DM150" s="663"/>
      <c r="DN150" s="663"/>
      <c r="DO150" s="663"/>
      <c r="DP150" s="663"/>
      <c r="DQ150" s="663"/>
      <c r="DR150" s="663"/>
      <c r="DS150" s="663"/>
      <c r="DT150" s="663"/>
      <c r="DU150" s="663"/>
      <c r="DV150" s="663"/>
      <c r="DW150" s="663"/>
      <c r="DX150" s="663"/>
      <c r="DY150" s="663"/>
      <c r="DZ150" s="663"/>
      <c r="EA150" s="663"/>
      <c r="EB150" s="663"/>
      <c r="EC150" s="663"/>
      <c r="ED150" s="663"/>
      <c r="EE150" s="663"/>
      <c r="EF150" s="663"/>
      <c r="EG150" s="663"/>
      <c r="EH150" s="663"/>
      <c r="EI150" s="663"/>
      <c r="EJ150" s="663"/>
      <c r="EK150" s="663"/>
      <c r="EL150" s="663"/>
      <c r="EM150" s="663"/>
      <c r="EN150" s="663"/>
      <c r="EO150" s="663"/>
      <c r="EP150" s="663"/>
      <c r="EQ150" s="663"/>
      <c r="ER150" s="663"/>
      <c r="ES150" s="663"/>
      <c r="ET150" s="663"/>
      <c r="EU150" s="663"/>
      <c r="EV150" s="663"/>
      <c r="EW150" s="663"/>
      <c r="EX150" s="663"/>
      <c r="EY150" s="663"/>
      <c r="EZ150" s="663"/>
      <c r="FA150" s="663"/>
      <c r="FB150" s="663"/>
      <c r="FC150" s="663"/>
      <c r="FD150" s="663"/>
      <c r="FE150" s="663"/>
      <c r="FF150" s="663"/>
      <c r="FG150" s="663"/>
      <c r="FH150" s="663"/>
      <c r="FI150" s="663"/>
      <c r="FJ150" s="663"/>
      <c r="FK150" s="663"/>
      <c r="FL150" s="663"/>
      <c r="FM150" s="663"/>
      <c r="FN150" s="663"/>
      <c r="FO150" s="663"/>
      <c r="FP150" s="663"/>
      <c r="FQ150" s="663"/>
      <c r="FR150" s="663"/>
      <c r="FS150" s="663"/>
      <c r="FT150" s="663"/>
      <c r="FU150" s="663"/>
      <c r="FV150" s="663"/>
      <c r="FW150" s="663"/>
      <c r="FX150" s="663"/>
      <c r="FY150" s="663"/>
      <c r="FZ150" s="663"/>
      <c r="GA150" s="663"/>
      <c r="GB150" s="663"/>
      <c r="GC150" s="663"/>
      <c r="GD150" s="663"/>
      <c r="GE150" s="663"/>
      <c r="GF150" s="663"/>
      <c r="GG150" s="663"/>
      <c r="GH150" s="663"/>
      <c r="GI150" s="663"/>
      <c r="GJ150" s="663"/>
      <c r="GK150" s="663"/>
      <c r="GL150" s="663"/>
      <c r="GM150" s="663"/>
      <c r="GN150" s="663"/>
      <c r="GO150" s="663"/>
      <c r="GP150" s="663"/>
      <c r="GQ150" s="663"/>
      <c r="GR150" s="663"/>
      <c r="GS150" s="663"/>
      <c r="GT150" s="663"/>
      <c r="GU150" s="663"/>
      <c r="GV150" s="663"/>
      <c r="GW150" s="663"/>
      <c r="GX150" s="663"/>
      <c r="GY150" s="663"/>
      <c r="GZ150" s="663"/>
      <c r="HA150" s="663"/>
      <c r="HB150" s="663"/>
      <c r="HC150" s="663"/>
      <c r="HD150" s="663"/>
      <c r="HE150" s="663"/>
      <c r="HF150" s="663"/>
      <c r="HG150" s="663"/>
      <c r="HH150" s="663"/>
      <c r="HI150" s="663"/>
      <c r="HJ150" s="663"/>
      <c r="HK150" s="663"/>
      <c r="HL150" s="663"/>
      <c r="HM150" s="663"/>
      <c r="HN150" s="663"/>
      <c r="HO150" s="663"/>
      <c r="HP150" s="663"/>
      <c r="HQ150" s="663"/>
      <c r="HR150" s="663"/>
      <c r="HS150" s="663"/>
      <c r="HT150" s="663"/>
      <c r="HU150" s="663"/>
      <c r="HV150" s="663"/>
      <c r="HW150" s="663"/>
      <c r="HX150" s="663"/>
      <c r="HY150" s="663"/>
      <c r="HZ150" s="663"/>
      <c r="IA150" s="663"/>
      <c r="IB150" s="663"/>
      <c r="IC150" s="663"/>
      <c r="ID150" s="663"/>
      <c r="IE150" s="663"/>
      <c r="IF150" s="663"/>
      <c r="IG150" s="663"/>
      <c r="IH150" s="663"/>
      <c r="II150" s="663"/>
      <c r="IJ150" s="663"/>
      <c r="IK150" s="663"/>
      <c r="IL150" s="663"/>
      <c r="IM150" s="663"/>
      <c r="IN150" s="663"/>
      <c r="IO150" s="663"/>
      <c r="IP150" s="663"/>
      <c r="IQ150" s="663"/>
      <c r="IR150" s="663"/>
      <c r="IS150" s="663"/>
      <c r="IT150" s="663"/>
      <c r="IU150" s="663"/>
      <c r="IV150" s="663"/>
    </row>
    <row r="151" spans="1:256" s="563" customFormat="1" ht="13.5" customHeight="1">
      <c r="A151" s="1098"/>
      <c r="B151" s="435"/>
      <c r="C151" s="456"/>
      <c r="D151" s="456" t="s">
        <v>835</v>
      </c>
      <c r="E151" s="456"/>
      <c r="F151" s="1076">
        <f>5.5</f>
        <v>5.5</v>
      </c>
      <c r="G151" s="448"/>
      <c r="H151" s="448"/>
      <c r="I151" s="549"/>
      <c r="J151" s="373"/>
      <c r="K151" s="1043"/>
      <c r="L151" s="1044"/>
      <c r="M151" s="1045"/>
      <c r="N151" s="1046"/>
      <c r="O151" s="1046"/>
      <c r="P151" s="1047"/>
      <c r="Q151" s="1046"/>
      <c r="R151" s="1032"/>
      <c r="S151" s="1048"/>
      <c r="T151" s="371"/>
      <c r="U151" s="372"/>
      <c r="V151" s="373"/>
      <c r="W151" s="373"/>
      <c r="X151" s="373"/>
      <c r="Y151" s="373"/>
      <c r="Z151" s="373"/>
      <c r="AA151" s="373"/>
      <c r="AB151" s="373"/>
      <c r="AC151" s="373"/>
      <c r="AD151" s="373"/>
      <c r="AE151" s="373"/>
      <c r="AF151" s="373"/>
      <c r="AG151" s="373"/>
      <c r="AH151" s="373"/>
      <c r="AI151" s="373"/>
      <c r="AJ151" s="373"/>
      <c r="AK151" s="373"/>
      <c r="AL151" s="373"/>
      <c r="AM151" s="373"/>
      <c r="AN151" s="373"/>
      <c r="AO151" s="373"/>
      <c r="AP151" s="373"/>
      <c r="AQ151" s="373"/>
      <c r="AR151" s="373"/>
      <c r="AS151" s="373"/>
      <c r="AT151" s="373"/>
      <c r="AU151" s="373"/>
      <c r="AY151" s="663"/>
      <c r="AZ151" s="663"/>
      <c r="BA151" s="663"/>
      <c r="BB151" s="663"/>
      <c r="BC151" s="663"/>
      <c r="BD151" s="663"/>
      <c r="BE151" s="663"/>
      <c r="BF151" s="663"/>
      <c r="BG151" s="663"/>
      <c r="BH151" s="663"/>
      <c r="BI151" s="663"/>
      <c r="BJ151" s="663"/>
      <c r="BK151" s="663"/>
      <c r="BL151" s="663"/>
      <c r="BM151" s="663"/>
      <c r="BN151" s="663"/>
      <c r="BO151" s="663"/>
      <c r="BP151" s="663"/>
      <c r="BQ151" s="663"/>
      <c r="BR151" s="663"/>
      <c r="BS151" s="663"/>
      <c r="BT151" s="663"/>
      <c r="BU151" s="663"/>
      <c r="BV151" s="663"/>
      <c r="BW151" s="663"/>
      <c r="BX151" s="663"/>
      <c r="BY151" s="663"/>
      <c r="BZ151" s="663"/>
      <c r="CA151" s="663"/>
      <c r="CB151" s="663"/>
      <c r="CC151" s="663"/>
      <c r="CD151" s="663"/>
      <c r="CE151" s="663"/>
      <c r="CF151" s="663"/>
      <c r="CG151" s="663"/>
      <c r="CH151" s="663"/>
      <c r="CI151" s="663"/>
      <c r="CJ151" s="663"/>
      <c r="CK151" s="663"/>
      <c r="CL151" s="663"/>
      <c r="CM151" s="663"/>
      <c r="CN151" s="663"/>
      <c r="CO151" s="663"/>
      <c r="CP151" s="663"/>
      <c r="CQ151" s="663"/>
      <c r="CR151" s="663"/>
      <c r="CS151" s="663"/>
      <c r="CT151" s="663"/>
      <c r="CU151" s="663"/>
      <c r="CV151" s="663"/>
      <c r="CW151" s="663"/>
      <c r="CX151" s="663"/>
      <c r="CY151" s="663"/>
      <c r="CZ151" s="663"/>
      <c r="DA151" s="663"/>
      <c r="DB151" s="663"/>
      <c r="DC151" s="663"/>
      <c r="DD151" s="663"/>
      <c r="DE151" s="663"/>
      <c r="DF151" s="663"/>
      <c r="DG151" s="663"/>
      <c r="DH151" s="663"/>
      <c r="DI151" s="663"/>
      <c r="DJ151" s="663"/>
      <c r="DK151" s="663"/>
      <c r="DL151" s="663"/>
      <c r="DM151" s="663"/>
      <c r="DN151" s="663"/>
      <c r="DO151" s="663"/>
      <c r="DP151" s="663"/>
      <c r="DQ151" s="663"/>
      <c r="DR151" s="663"/>
      <c r="DS151" s="663"/>
      <c r="DT151" s="663"/>
      <c r="DU151" s="663"/>
      <c r="DV151" s="663"/>
      <c r="DW151" s="663"/>
      <c r="DX151" s="663"/>
      <c r="DY151" s="663"/>
      <c r="DZ151" s="663"/>
      <c r="EA151" s="663"/>
      <c r="EB151" s="663"/>
      <c r="EC151" s="663"/>
      <c r="ED151" s="663"/>
      <c r="EE151" s="663"/>
      <c r="EF151" s="663"/>
      <c r="EG151" s="663"/>
      <c r="EH151" s="663"/>
      <c r="EI151" s="663"/>
      <c r="EJ151" s="663"/>
      <c r="EK151" s="663"/>
      <c r="EL151" s="663"/>
      <c r="EM151" s="663"/>
      <c r="EN151" s="663"/>
      <c r="EO151" s="663"/>
      <c r="EP151" s="663"/>
      <c r="EQ151" s="663"/>
      <c r="ER151" s="663"/>
      <c r="ES151" s="663"/>
      <c r="ET151" s="663"/>
      <c r="EU151" s="663"/>
      <c r="EV151" s="663"/>
      <c r="EW151" s="663"/>
      <c r="EX151" s="663"/>
      <c r="EY151" s="663"/>
      <c r="EZ151" s="663"/>
      <c r="FA151" s="663"/>
      <c r="FB151" s="663"/>
      <c r="FC151" s="663"/>
      <c r="FD151" s="663"/>
      <c r="FE151" s="663"/>
      <c r="FF151" s="663"/>
      <c r="FG151" s="663"/>
      <c r="FH151" s="663"/>
      <c r="FI151" s="663"/>
      <c r="FJ151" s="663"/>
      <c r="FK151" s="663"/>
      <c r="FL151" s="663"/>
      <c r="FM151" s="663"/>
      <c r="FN151" s="663"/>
      <c r="FO151" s="663"/>
      <c r="FP151" s="663"/>
      <c r="FQ151" s="663"/>
      <c r="FR151" s="663"/>
      <c r="FS151" s="663"/>
      <c r="FT151" s="663"/>
      <c r="FU151" s="663"/>
      <c r="FV151" s="663"/>
      <c r="FW151" s="663"/>
      <c r="FX151" s="663"/>
      <c r="FY151" s="663"/>
      <c r="FZ151" s="663"/>
      <c r="GA151" s="663"/>
      <c r="GB151" s="663"/>
      <c r="GC151" s="663"/>
      <c r="GD151" s="663"/>
      <c r="GE151" s="663"/>
      <c r="GF151" s="663"/>
      <c r="GG151" s="663"/>
      <c r="GH151" s="663"/>
      <c r="GI151" s="663"/>
      <c r="GJ151" s="663"/>
      <c r="GK151" s="663"/>
      <c r="GL151" s="663"/>
      <c r="GM151" s="663"/>
      <c r="GN151" s="663"/>
      <c r="GO151" s="663"/>
      <c r="GP151" s="663"/>
      <c r="GQ151" s="663"/>
      <c r="GR151" s="663"/>
      <c r="GS151" s="663"/>
      <c r="GT151" s="663"/>
      <c r="GU151" s="663"/>
      <c r="GV151" s="663"/>
      <c r="GW151" s="663"/>
      <c r="GX151" s="663"/>
      <c r="GY151" s="663"/>
      <c r="GZ151" s="663"/>
      <c r="HA151" s="663"/>
      <c r="HB151" s="663"/>
      <c r="HC151" s="663"/>
      <c r="HD151" s="663"/>
      <c r="HE151" s="663"/>
      <c r="HF151" s="663"/>
      <c r="HG151" s="663"/>
      <c r="HH151" s="663"/>
      <c r="HI151" s="663"/>
      <c r="HJ151" s="663"/>
      <c r="HK151" s="663"/>
      <c r="HL151" s="663"/>
      <c r="HM151" s="663"/>
      <c r="HN151" s="663"/>
      <c r="HO151" s="663"/>
      <c r="HP151" s="663"/>
      <c r="HQ151" s="663"/>
      <c r="HR151" s="663"/>
      <c r="HS151" s="663"/>
      <c r="HT151" s="663"/>
      <c r="HU151" s="663"/>
      <c r="HV151" s="663"/>
      <c r="HW151" s="663"/>
      <c r="HX151" s="663"/>
      <c r="HY151" s="663"/>
      <c r="HZ151" s="663"/>
      <c r="IA151" s="663"/>
      <c r="IB151" s="663"/>
      <c r="IC151" s="663"/>
      <c r="ID151" s="663"/>
      <c r="IE151" s="663"/>
      <c r="IF151" s="663"/>
      <c r="IG151" s="663"/>
      <c r="IH151" s="663"/>
      <c r="II151" s="663"/>
      <c r="IJ151" s="663"/>
      <c r="IK151" s="663"/>
      <c r="IL151" s="663"/>
      <c r="IM151" s="663"/>
      <c r="IN151" s="663"/>
      <c r="IO151" s="663"/>
      <c r="IP151" s="663"/>
      <c r="IQ151" s="663"/>
      <c r="IR151" s="663"/>
      <c r="IS151" s="663"/>
      <c r="IT151" s="663"/>
      <c r="IU151" s="663"/>
      <c r="IV151" s="663"/>
    </row>
    <row r="152" spans="1:256" s="563" customFormat="1" ht="13.5" customHeight="1">
      <c r="A152" s="1095">
        <v>46</v>
      </c>
      <c r="B152" s="1074">
        <v>221</v>
      </c>
      <c r="C152" s="1074">
        <v>979024443</v>
      </c>
      <c r="D152" s="1074" t="s">
        <v>243</v>
      </c>
      <c r="E152" s="1074" t="s">
        <v>115</v>
      </c>
      <c r="F152" s="1096">
        <f>SUM(F153:F153)</f>
        <v>3</v>
      </c>
      <c r="G152" s="1112"/>
      <c r="H152" s="1097">
        <f>F152*G152</f>
        <v>0</v>
      </c>
      <c r="I152" s="533" t="s">
        <v>738</v>
      </c>
      <c r="J152" s="373"/>
      <c r="K152" s="1027"/>
      <c r="L152" s="1028"/>
      <c r="M152" s="1029"/>
      <c r="N152" s="1030"/>
      <c r="O152" s="1030"/>
      <c r="P152" s="1031"/>
      <c r="Q152" s="1030"/>
      <c r="R152" s="1032"/>
      <c r="S152" s="889"/>
      <c r="T152" s="371"/>
      <c r="U152" s="372"/>
      <c r="V152" s="373"/>
      <c r="W152" s="373"/>
      <c r="X152" s="373"/>
      <c r="Y152" s="373"/>
      <c r="Z152" s="373"/>
      <c r="AA152" s="373"/>
      <c r="AB152" s="373"/>
      <c r="AC152" s="373"/>
      <c r="AD152" s="373"/>
      <c r="AE152" s="373"/>
      <c r="AF152" s="373"/>
      <c r="AG152" s="373"/>
      <c r="AH152" s="373"/>
      <c r="AI152" s="373"/>
      <c r="AJ152" s="373"/>
      <c r="AK152" s="373"/>
      <c r="AL152" s="373"/>
      <c r="AM152" s="373"/>
      <c r="AN152" s="373"/>
      <c r="AO152" s="373"/>
      <c r="AP152" s="373"/>
      <c r="AQ152" s="373"/>
      <c r="AR152" s="373"/>
      <c r="AS152" s="373"/>
      <c r="AT152" s="373"/>
      <c r="AU152" s="373"/>
      <c r="AY152" s="663"/>
      <c r="AZ152" s="663"/>
      <c r="BA152" s="663"/>
      <c r="BB152" s="663"/>
      <c r="BC152" s="663"/>
      <c r="BD152" s="663"/>
      <c r="BE152" s="663"/>
      <c r="BF152" s="663"/>
      <c r="BG152" s="663"/>
      <c r="BH152" s="663"/>
      <c r="BI152" s="663"/>
      <c r="BJ152" s="663"/>
      <c r="BK152" s="663"/>
      <c r="BL152" s="663"/>
      <c r="BM152" s="663"/>
      <c r="BN152" s="663"/>
      <c r="BO152" s="663"/>
      <c r="BP152" s="663"/>
      <c r="BQ152" s="663"/>
      <c r="BR152" s="663"/>
      <c r="BS152" s="663"/>
      <c r="BT152" s="663"/>
      <c r="BU152" s="663"/>
      <c r="BV152" s="663"/>
      <c r="BW152" s="663"/>
      <c r="BX152" s="663"/>
      <c r="BY152" s="663"/>
      <c r="BZ152" s="663"/>
      <c r="CA152" s="663"/>
      <c r="CB152" s="663"/>
      <c r="CC152" s="663"/>
      <c r="CD152" s="663"/>
      <c r="CE152" s="663"/>
      <c r="CF152" s="663"/>
      <c r="CG152" s="663"/>
      <c r="CH152" s="663"/>
      <c r="CI152" s="663"/>
      <c r="CJ152" s="663"/>
      <c r="CK152" s="663"/>
      <c r="CL152" s="663"/>
      <c r="CM152" s="663"/>
      <c r="CN152" s="663"/>
      <c r="CO152" s="663"/>
      <c r="CP152" s="663"/>
      <c r="CQ152" s="663"/>
      <c r="CR152" s="663"/>
      <c r="CS152" s="663"/>
      <c r="CT152" s="663"/>
      <c r="CU152" s="663"/>
      <c r="CV152" s="663"/>
      <c r="CW152" s="663"/>
      <c r="CX152" s="663"/>
      <c r="CY152" s="663"/>
      <c r="CZ152" s="663"/>
      <c r="DA152" s="663"/>
      <c r="DB152" s="663"/>
      <c r="DC152" s="663"/>
      <c r="DD152" s="663"/>
      <c r="DE152" s="663"/>
      <c r="DF152" s="663"/>
      <c r="DG152" s="663"/>
      <c r="DH152" s="663"/>
      <c r="DI152" s="663"/>
      <c r="DJ152" s="663"/>
      <c r="DK152" s="663"/>
      <c r="DL152" s="663"/>
      <c r="DM152" s="663"/>
      <c r="DN152" s="663"/>
      <c r="DO152" s="663"/>
      <c r="DP152" s="663"/>
      <c r="DQ152" s="663"/>
      <c r="DR152" s="663"/>
      <c r="DS152" s="663"/>
      <c r="DT152" s="663"/>
      <c r="DU152" s="663"/>
      <c r="DV152" s="663"/>
      <c r="DW152" s="663"/>
      <c r="DX152" s="663"/>
      <c r="DY152" s="663"/>
      <c r="DZ152" s="663"/>
      <c r="EA152" s="663"/>
      <c r="EB152" s="663"/>
      <c r="EC152" s="663"/>
      <c r="ED152" s="663"/>
      <c r="EE152" s="663"/>
      <c r="EF152" s="663"/>
      <c r="EG152" s="663"/>
      <c r="EH152" s="663"/>
      <c r="EI152" s="663"/>
      <c r="EJ152" s="663"/>
      <c r="EK152" s="663"/>
      <c r="EL152" s="663"/>
      <c r="EM152" s="663"/>
      <c r="EN152" s="663"/>
      <c r="EO152" s="663"/>
      <c r="EP152" s="663"/>
      <c r="EQ152" s="663"/>
      <c r="ER152" s="663"/>
      <c r="ES152" s="663"/>
      <c r="ET152" s="663"/>
      <c r="EU152" s="663"/>
      <c r="EV152" s="663"/>
      <c r="EW152" s="663"/>
      <c r="EX152" s="663"/>
      <c r="EY152" s="663"/>
      <c r="EZ152" s="663"/>
      <c r="FA152" s="663"/>
      <c r="FB152" s="663"/>
      <c r="FC152" s="663"/>
      <c r="FD152" s="663"/>
      <c r="FE152" s="663"/>
      <c r="FF152" s="663"/>
      <c r="FG152" s="663"/>
      <c r="FH152" s="663"/>
      <c r="FI152" s="663"/>
      <c r="FJ152" s="663"/>
      <c r="FK152" s="663"/>
      <c r="FL152" s="663"/>
      <c r="FM152" s="663"/>
      <c r="FN152" s="663"/>
      <c r="FO152" s="663"/>
      <c r="FP152" s="663"/>
      <c r="FQ152" s="663"/>
      <c r="FR152" s="663"/>
      <c r="FS152" s="663"/>
      <c r="FT152" s="663"/>
      <c r="FU152" s="663"/>
      <c r="FV152" s="663"/>
      <c r="FW152" s="663"/>
      <c r="FX152" s="663"/>
      <c r="FY152" s="663"/>
      <c r="FZ152" s="663"/>
      <c r="GA152" s="663"/>
      <c r="GB152" s="663"/>
      <c r="GC152" s="663"/>
      <c r="GD152" s="663"/>
      <c r="GE152" s="663"/>
      <c r="GF152" s="663"/>
      <c r="GG152" s="663"/>
      <c r="GH152" s="663"/>
      <c r="GI152" s="663"/>
      <c r="GJ152" s="663"/>
      <c r="GK152" s="663"/>
      <c r="GL152" s="663"/>
      <c r="GM152" s="663"/>
      <c r="GN152" s="663"/>
      <c r="GO152" s="663"/>
      <c r="GP152" s="663"/>
      <c r="GQ152" s="663"/>
      <c r="GR152" s="663"/>
      <c r="GS152" s="663"/>
      <c r="GT152" s="663"/>
      <c r="GU152" s="663"/>
      <c r="GV152" s="663"/>
      <c r="GW152" s="663"/>
      <c r="GX152" s="663"/>
      <c r="GY152" s="663"/>
      <c r="GZ152" s="663"/>
      <c r="HA152" s="663"/>
      <c r="HB152" s="663"/>
      <c r="HC152" s="663"/>
      <c r="HD152" s="663"/>
      <c r="HE152" s="663"/>
      <c r="HF152" s="663"/>
      <c r="HG152" s="663"/>
      <c r="HH152" s="663"/>
      <c r="HI152" s="663"/>
      <c r="HJ152" s="663"/>
      <c r="HK152" s="663"/>
      <c r="HL152" s="663"/>
      <c r="HM152" s="663"/>
      <c r="HN152" s="663"/>
      <c r="HO152" s="663"/>
      <c r="HP152" s="663"/>
      <c r="HQ152" s="663"/>
      <c r="HR152" s="663"/>
      <c r="HS152" s="663"/>
      <c r="HT152" s="663"/>
      <c r="HU152" s="663"/>
      <c r="HV152" s="663"/>
      <c r="HW152" s="663"/>
      <c r="HX152" s="663"/>
      <c r="HY152" s="663"/>
      <c r="HZ152" s="663"/>
      <c r="IA152" s="663"/>
      <c r="IB152" s="663"/>
      <c r="IC152" s="663"/>
      <c r="ID152" s="663"/>
      <c r="IE152" s="663"/>
      <c r="IF152" s="663"/>
      <c r="IG152" s="663"/>
      <c r="IH152" s="663"/>
      <c r="II152" s="663"/>
      <c r="IJ152" s="663"/>
      <c r="IK152" s="663"/>
      <c r="IL152" s="663"/>
      <c r="IM152" s="663"/>
      <c r="IN152" s="663"/>
      <c r="IO152" s="663"/>
      <c r="IP152" s="663"/>
      <c r="IQ152" s="663"/>
      <c r="IR152" s="663"/>
      <c r="IS152" s="663"/>
      <c r="IT152" s="663"/>
      <c r="IU152" s="663"/>
      <c r="IV152" s="663"/>
    </row>
    <row r="153" spans="1:256" s="563" customFormat="1" ht="13.5" customHeight="1">
      <c r="A153" s="1098"/>
      <c r="B153" s="435"/>
      <c r="C153" s="456"/>
      <c r="D153" s="456" t="s">
        <v>836</v>
      </c>
      <c r="E153" s="456"/>
      <c r="F153" s="1076">
        <f>3</f>
        <v>3</v>
      </c>
      <c r="G153" s="448"/>
      <c r="H153" s="448"/>
      <c r="I153" s="549"/>
      <c r="J153" s="373"/>
      <c r="K153" s="1043"/>
      <c r="L153" s="1044"/>
      <c r="M153" s="1045"/>
      <c r="N153" s="1046"/>
      <c r="O153" s="1046"/>
      <c r="P153" s="1047"/>
      <c r="Q153" s="1046"/>
      <c r="R153" s="1032"/>
      <c r="S153" s="1048"/>
      <c r="T153" s="371"/>
      <c r="U153" s="372"/>
      <c r="V153" s="373"/>
      <c r="W153" s="373"/>
      <c r="X153" s="373"/>
      <c r="Y153" s="373"/>
      <c r="Z153" s="373"/>
      <c r="AA153" s="373"/>
      <c r="AB153" s="373"/>
      <c r="AC153" s="373"/>
      <c r="AD153" s="373"/>
      <c r="AE153" s="373"/>
      <c r="AF153" s="373"/>
      <c r="AG153" s="373"/>
      <c r="AH153" s="373"/>
      <c r="AI153" s="373"/>
      <c r="AJ153" s="373"/>
      <c r="AK153" s="373"/>
      <c r="AL153" s="373"/>
      <c r="AM153" s="373"/>
      <c r="AN153" s="373"/>
      <c r="AO153" s="373"/>
      <c r="AP153" s="373"/>
      <c r="AQ153" s="373"/>
      <c r="AR153" s="373"/>
      <c r="AS153" s="373"/>
      <c r="AT153" s="373"/>
      <c r="AU153" s="373"/>
      <c r="AY153" s="663"/>
      <c r="AZ153" s="663"/>
      <c r="BA153" s="663"/>
      <c r="BB153" s="663"/>
      <c r="BC153" s="663"/>
      <c r="BD153" s="663"/>
      <c r="BE153" s="663"/>
      <c r="BF153" s="663"/>
      <c r="BG153" s="663"/>
      <c r="BH153" s="663"/>
      <c r="BI153" s="663"/>
      <c r="BJ153" s="663"/>
      <c r="BK153" s="663"/>
      <c r="BL153" s="663"/>
      <c r="BM153" s="663"/>
      <c r="BN153" s="663"/>
      <c r="BO153" s="663"/>
      <c r="BP153" s="663"/>
      <c r="BQ153" s="663"/>
      <c r="BR153" s="663"/>
      <c r="BS153" s="663"/>
      <c r="BT153" s="663"/>
      <c r="BU153" s="663"/>
      <c r="BV153" s="663"/>
      <c r="BW153" s="663"/>
      <c r="BX153" s="663"/>
      <c r="BY153" s="663"/>
      <c r="BZ153" s="663"/>
      <c r="CA153" s="663"/>
      <c r="CB153" s="663"/>
      <c r="CC153" s="663"/>
      <c r="CD153" s="663"/>
      <c r="CE153" s="663"/>
      <c r="CF153" s="663"/>
      <c r="CG153" s="663"/>
      <c r="CH153" s="663"/>
      <c r="CI153" s="663"/>
      <c r="CJ153" s="663"/>
      <c r="CK153" s="663"/>
      <c r="CL153" s="663"/>
      <c r="CM153" s="663"/>
      <c r="CN153" s="663"/>
      <c r="CO153" s="663"/>
      <c r="CP153" s="663"/>
      <c r="CQ153" s="663"/>
      <c r="CR153" s="663"/>
      <c r="CS153" s="663"/>
      <c r="CT153" s="663"/>
      <c r="CU153" s="663"/>
      <c r="CV153" s="663"/>
      <c r="CW153" s="663"/>
      <c r="CX153" s="663"/>
      <c r="CY153" s="663"/>
      <c r="CZ153" s="663"/>
      <c r="DA153" s="663"/>
      <c r="DB153" s="663"/>
      <c r="DC153" s="663"/>
      <c r="DD153" s="663"/>
      <c r="DE153" s="663"/>
      <c r="DF153" s="663"/>
      <c r="DG153" s="663"/>
      <c r="DH153" s="663"/>
      <c r="DI153" s="663"/>
      <c r="DJ153" s="663"/>
      <c r="DK153" s="663"/>
      <c r="DL153" s="663"/>
      <c r="DM153" s="663"/>
      <c r="DN153" s="663"/>
      <c r="DO153" s="663"/>
      <c r="DP153" s="663"/>
      <c r="DQ153" s="663"/>
      <c r="DR153" s="663"/>
      <c r="DS153" s="663"/>
      <c r="DT153" s="663"/>
      <c r="DU153" s="663"/>
      <c r="DV153" s="663"/>
      <c r="DW153" s="663"/>
      <c r="DX153" s="663"/>
      <c r="DY153" s="663"/>
      <c r="DZ153" s="663"/>
      <c r="EA153" s="663"/>
      <c r="EB153" s="663"/>
      <c r="EC153" s="663"/>
      <c r="ED153" s="663"/>
      <c r="EE153" s="663"/>
      <c r="EF153" s="663"/>
      <c r="EG153" s="663"/>
      <c r="EH153" s="663"/>
      <c r="EI153" s="663"/>
      <c r="EJ153" s="663"/>
      <c r="EK153" s="663"/>
      <c r="EL153" s="663"/>
      <c r="EM153" s="663"/>
      <c r="EN153" s="663"/>
      <c r="EO153" s="663"/>
      <c r="EP153" s="663"/>
      <c r="EQ153" s="663"/>
      <c r="ER153" s="663"/>
      <c r="ES153" s="663"/>
      <c r="ET153" s="663"/>
      <c r="EU153" s="663"/>
      <c r="EV153" s="663"/>
      <c r="EW153" s="663"/>
      <c r="EX153" s="663"/>
      <c r="EY153" s="663"/>
      <c r="EZ153" s="663"/>
      <c r="FA153" s="663"/>
      <c r="FB153" s="663"/>
      <c r="FC153" s="663"/>
      <c r="FD153" s="663"/>
      <c r="FE153" s="663"/>
      <c r="FF153" s="663"/>
      <c r="FG153" s="663"/>
      <c r="FH153" s="663"/>
      <c r="FI153" s="663"/>
      <c r="FJ153" s="663"/>
      <c r="FK153" s="663"/>
      <c r="FL153" s="663"/>
      <c r="FM153" s="663"/>
      <c r="FN153" s="663"/>
      <c r="FO153" s="663"/>
      <c r="FP153" s="663"/>
      <c r="FQ153" s="663"/>
      <c r="FR153" s="663"/>
      <c r="FS153" s="663"/>
      <c r="FT153" s="663"/>
      <c r="FU153" s="663"/>
      <c r="FV153" s="663"/>
      <c r="FW153" s="663"/>
      <c r="FX153" s="663"/>
      <c r="FY153" s="663"/>
      <c r="FZ153" s="663"/>
      <c r="GA153" s="663"/>
      <c r="GB153" s="663"/>
      <c r="GC153" s="663"/>
      <c r="GD153" s="663"/>
      <c r="GE153" s="663"/>
      <c r="GF153" s="663"/>
      <c r="GG153" s="663"/>
      <c r="GH153" s="663"/>
      <c r="GI153" s="663"/>
      <c r="GJ153" s="663"/>
      <c r="GK153" s="663"/>
      <c r="GL153" s="663"/>
      <c r="GM153" s="663"/>
      <c r="GN153" s="663"/>
      <c r="GO153" s="663"/>
      <c r="GP153" s="663"/>
      <c r="GQ153" s="663"/>
      <c r="GR153" s="663"/>
      <c r="GS153" s="663"/>
      <c r="GT153" s="663"/>
      <c r="GU153" s="663"/>
      <c r="GV153" s="663"/>
      <c r="GW153" s="663"/>
      <c r="GX153" s="663"/>
      <c r="GY153" s="663"/>
      <c r="GZ153" s="663"/>
      <c r="HA153" s="663"/>
      <c r="HB153" s="663"/>
      <c r="HC153" s="663"/>
      <c r="HD153" s="663"/>
      <c r="HE153" s="663"/>
      <c r="HF153" s="663"/>
      <c r="HG153" s="663"/>
      <c r="HH153" s="663"/>
      <c r="HI153" s="663"/>
      <c r="HJ153" s="663"/>
      <c r="HK153" s="663"/>
      <c r="HL153" s="663"/>
      <c r="HM153" s="663"/>
      <c r="HN153" s="663"/>
      <c r="HO153" s="663"/>
      <c r="HP153" s="663"/>
      <c r="HQ153" s="663"/>
      <c r="HR153" s="663"/>
      <c r="HS153" s="663"/>
      <c r="HT153" s="663"/>
      <c r="HU153" s="663"/>
      <c r="HV153" s="663"/>
      <c r="HW153" s="663"/>
      <c r="HX153" s="663"/>
      <c r="HY153" s="663"/>
      <c r="HZ153" s="663"/>
      <c r="IA153" s="663"/>
      <c r="IB153" s="663"/>
      <c r="IC153" s="663"/>
      <c r="ID153" s="663"/>
      <c r="IE153" s="663"/>
      <c r="IF153" s="663"/>
      <c r="IG153" s="663"/>
      <c r="IH153" s="663"/>
      <c r="II153" s="663"/>
      <c r="IJ153" s="663"/>
      <c r="IK153" s="663"/>
      <c r="IL153" s="663"/>
      <c r="IM153" s="663"/>
      <c r="IN153" s="663"/>
      <c r="IO153" s="663"/>
      <c r="IP153" s="663"/>
      <c r="IQ153" s="663"/>
      <c r="IR153" s="663"/>
      <c r="IS153" s="663"/>
      <c r="IT153" s="663"/>
      <c r="IU153" s="663"/>
      <c r="IV153" s="663"/>
    </row>
    <row r="154" spans="1:256" s="508" customFormat="1" ht="27" customHeight="1">
      <c r="A154" s="530">
        <v>47</v>
      </c>
      <c r="B154" s="424" t="s">
        <v>133</v>
      </c>
      <c r="C154" s="427" t="s">
        <v>136</v>
      </c>
      <c r="D154" s="34" t="s">
        <v>634</v>
      </c>
      <c r="E154" s="557" t="s">
        <v>125</v>
      </c>
      <c r="F154" s="534">
        <f>SUM(F155)</f>
        <v>4.3789999999999996</v>
      </c>
      <c r="G154" s="532">
        <f>SUM(H156:H159)/F154</f>
        <v>0</v>
      </c>
      <c r="H154" s="532">
        <f>F154*G154</f>
        <v>0</v>
      </c>
      <c r="I154" s="533" t="s">
        <v>739</v>
      </c>
      <c r="J154" s="459"/>
      <c r="K154" s="452"/>
      <c r="L154" s="452"/>
      <c r="M154" s="452"/>
      <c r="N154" s="452"/>
      <c r="O154" s="452"/>
      <c r="P154" s="452"/>
      <c r="Q154" s="452"/>
      <c r="R154" s="452"/>
      <c r="S154" s="452"/>
      <c r="T154" s="452"/>
      <c r="U154" s="452"/>
      <c r="V154" s="373"/>
      <c r="W154" s="373"/>
      <c r="X154" s="373"/>
      <c r="Y154" s="373"/>
      <c r="Z154" s="373"/>
      <c r="AA154" s="373"/>
      <c r="AB154" s="373"/>
      <c r="AC154" s="373"/>
      <c r="AD154" s="373"/>
      <c r="AE154" s="373"/>
      <c r="AF154" s="373"/>
      <c r="AG154" s="373"/>
      <c r="AH154" s="373"/>
      <c r="AI154" s="373"/>
      <c r="AJ154" s="373"/>
      <c r="AK154" s="373"/>
      <c r="AL154" s="373"/>
      <c r="AM154" s="373"/>
      <c r="AN154" s="373"/>
      <c r="AO154" s="373"/>
      <c r="AP154" s="373"/>
      <c r="AQ154" s="373"/>
      <c r="AR154" s="373"/>
      <c r="AS154" s="373"/>
      <c r="AT154" s="373"/>
      <c r="AU154" s="373"/>
      <c r="AV154" s="563"/>
      <c r="AW154" s="563"/>
      <c r="AX154" s="563"/>
    </row>
    <row r="155" spans="1:256" s="508" customFormat="1" ht="13.5" customHeight="1">
      <c r="A155" s="849"/>
      <c r="B155" s="850"/>
      <c r="C155" s="851"/>
      <c r="D155" s="36" t="s">
        <v>651</v>
      </c>
      <c r="E155" s="36"/>
      <c r="F155" s="924">
        <f>0.435+3.944</f>
        <v>4.3789999999999996</v>
      </c>
      <c r="G155" s="925"/>
      <c r="H155" s="848"/>
      <c r="I155" s="926"/>
      <c r="J155" s="459"/>
      <c r="K155" s="452"/>
      <c r="L155" s="460"/>
      <c r="M155" s="452"/>
      <c r="N155" s="452"/>
      <c r="O155" s="452"/>
      <c r="P155" s="452"/>
      <c r="Q155" s="452"/>
      <c r="R155" s="452"/>
      <c r="S155" s="452"/>
      <c r="T155" s="452"/>
      <c r="U155" s="452"/>
      <c r="V155" s="373"/>
      <c r="W155" s="373"/>
      <c r="X155" s="373"/>
      <c r="Y155" s="373"/>
      <c r="Z155" s="373"/>
      <c r="AA155" s="373"/>
      <c r="AB155" s="373"/>
      <c r="AC155" s="373"/>
      <c r="AD155" s="373"/>
      <c r="AE155" s="373"/>
      <c r="AF155" s="373"/>
      <c r="AG155" s="373"/>
      <c r="AH155" s="373"/>
      <c r="AI155" s="373"/>
      <c r="AJ155" s="373"/>
      <c r="AK155" s="373"/>
      <c r="AL155" s="373"/>
      <c r="AM155" s="373"/>
      <c r="AN155" s="373"/>
      <c r="AO155" s="373"/>
      <c r="AP155" s="373"/>
      <c r="AQ155" s="373"/>
      <c r="AR155" s="373"/>
      <c r="AS155" s="373"/>
      <c r="AT155" s="373"/>
      <c r="AU155" s="373"/>
      <c r="AV155" s="563"/>
      <c r="AW155" s="563"/>
      <c r="AX155" s="563"/>
    </row>
    <row r="156" spans="1:256" s="508" customFormat="1" ht="13.5" customHeight="1">
      <c r="A156" s="927" t="s">
        <v>654</v>
      </c>
      <c r="B156" s="850"/>
      <c r="C156" s="445">
        <v>997221611</v>
      </c>
      <c r="D156" s="36" t="s">
        <v>137</v>
      </c>
      <c r="E156" s="36" t="s">
        <v>125</v>
      </c>
      <c r="F156" s="928">
        <f>F155</f>
        <v>4.3789999999999996</v>
      </c>
      <c r="G156" s="132"/>
      <c r="H156" s="853">
        <f>F156*G156</f>
        <v>0</v>
      </c>
      <c r="I156" s="449" t="s">
        <v>738</v>
      </c>
      <c r="J156" s="459"/>
      <c r="K156" s="929"/>
      <c r="L156" s="929"/>
      <c r="M156" s="929"/>
      <c r="N156" s="929"/>
      <c r="O156" s="929"/>
      <c r="P156" s="929"/>
      <c r="Q156" s="459"/>
      <c r="R156" s="452"/>
      <c r="S156" s="452"/>
      <c r="T156" s="452"/>
      <c r="U156" s="452"/>
      <c r="V156" s="373"/>
      <c r="W156" s="373"/>
      <c r="X156" s="373"/>
      <c r="Y156" s="373"/>
      <c r="Z156" s="373"/>
      <c r="AA156" s="373"/>
      <c r="AB156" s="373"/>
      <c r="AC156" s="373"/>
      <c r="AD156" s="373"/>
      <c r="AE156" s="373"/>
      <c r="AF156" s="373"/>
      <c r="AG156" s="373"/>
      <c r="AH156" s="373"/>
      <c r="AI156" s="373"/>
      <c r="AJ156" s="373"/>
      <c r="AK156" s="373"/>
      <c r="AL156" s="373"/>
      <c r="AM156" s="373"/>
      <c r="AN156" s="373"/>
      <c r="AO156" s="373"/>
      <c r="AP156" s="373"/>
      <c r="AQ156" s="373"/>
      <c r="AR156" s="373"/>
      <c r="AS156" s="373"/>
      <c r="AT156" s="373"/>
      <c r="AU156" s="373"/>
      <c r="AV156" s="563"/>
      <c r="AW156" s="563"/>
      <c r="AX156" s="563"/>
    </row>
    <row r="157" spans="1:256" s="508" customFormat="1" ht="13.5" customHeight="1">
      <c r="A157" s="927" t="s">
        <v>655</v>
      </c>
      <c r="B157" s="850"/>
      <c r="C157" s="445">
        <v>997221551</v>
      </c>
      <c r="D157" s="36" t="s">
        <v>138</v>
      </c>
      <c r="E157" s="36" t="s">
        <v>125</v>
      </c>
      <c r="F157" s="928">
        <f>F154</f>
        <v>4.3789999999999996</v>
      </c>
      <c r="G157" s="132"/>
      <c r="H157" s="930">
        <f>F157*G157</f>
        <v>0</v>
      </c>
      <c r="I157" s="449" t="s">
        <v>738</v>
      </c>
      <c r="J157" s="459"/>
      <c r="K157" s="929"/>
      <c r="L157" s="929"/>
      <c r="M157" s="929"/>
      <c r="N157" s="929"/>
      <c r="O157" s="929"/>
      <c r="P157" s="929"/>
      <c r="Q157" s="459"/>
      <c r="R157" s="452"/>
      <c r="S157" s="452"/>
      <c r="T157" s="452"/>
      <c r="U157" s="452"/>
      <c r="V157" s="374"/>
      <c r="W157" s="373"/>
      <c r="X157" s="373"/>
      <c r="Y157" s="373"/>
      <c r="Z157" s="373"/>
      <c r="AA157" s="373"/>
      <c r="AB157" s="373"/>
      <c r="AC157" s="373"/>
      <c r="AD157" s="373"/>
      <c r="AE157" s="373"/>
      <c r="AF157" s="373"/>
      <c r="AG157" s="373"/>
      <c r="AH157" s="373"/>
      <c r="AI157" s="373"/>
      <c r="AJ157" s="373"/>
      <c r="AK157" s="373"/>
      <c r="AL157" s="373"/>
      <c r="AM157" s="373"/>
      <c r="AN157" s="373"/>
      <c r="AO157" s="373"/>
      <c r="AP157" s="373"/>
      <c r="AQ157" s="373"/>
      <c r="AR157" s="373"/>
      <c r="AS157" s="373"/>
      <c r="AT157" s="373"/>
      <c r="AU157" s="373"/>
      <c r="AV157" s="563"/>
      <c r="AW157" s="563"/>
      <c r="AX157" s="563"/>
    </row>
    <row r="158" spans="1:256" s="508" customFormat="1" ht="27" customHeight="1">
      <c r="A158" s="927" t="s">
        <v>656</v>
      </c>
      <c r="B158" s="850"/>
      <c r="C158" s="445">
        <v>997221559</v>
      </c>
      <c r="D158" s="36" t="s">
        <v>139</v>
      </c>
      <c r="E158" s="36" t="s">
        <v>125</v>
      </c>
      <c r="F158" s="928">
        <f>5*F155</f>
        <v>21.894999999999996</v>
      </c>
      <c r="G158" s="132"/>
      <c r="H158" s="930">
        <f>F158*G158</f>
        <v>0</v>
      </c>
      <c r="I158" s="449" t="s">
        <v>738</v>
      </c>
      <c r="J158" s="450"/>
      <c r="K158" s="929"/>
      <c r="L158" s="929"/>
      <c r="M158" s="929"/>
      <c r="N158" s="929"/>
      <c r="O158" s="929"/>
      <c r="P158" s="929"/>
      <c r="Q158" s="450"/>
      <c r="R158" s="452"/>
      <c r="S158" s="452"/>
      <c r="T158" s="452"/>
      <c r="U158" s="452"/>
      <c r="V158" s="374"/>
      <c r="W158" s="373"/>
      <c r="X158" s="373"/>
      <c r="Y158" s="373"/>
      <c r="Z158" s="373"/>
      <c r="AA158" s="373"/>
      <c r="AB158" s="373"/>
      <c r="AC158" s="373"/>
      <c r="AD158" s="373"/>
      <c r="AE158" s="373"/>
      <c r="AF158" s="373"/>
      <c r="AG158" s="373"/>
      <c r="AH158" s="373"/>
      <c r="AI158" s="373"/>
      <c r="AJ158" s="373"/>
      <c r="AK158" s="373"/>
      <c r="AL158" s="373"/>
      <c r="AM158" s="373"/>
      <c r="AN158" s="373"/>
      <c r="AO158" s="373"/>
      <c r="AP158" s="373"/>
      <c r="AQ158" s="373"/>
      <c r="AR158" s="373"/>
      <c r="AS158" s="373"/>
      <c r="AT158" s="373"/>
      <c r="AU158" s="373"/>
      <c r="AV158" s="563"/>
      <c r="AW158" s="563"/>
      <c r="AX158" s="563"/>
    </row>
    <row r="159" spans="1:256" s="508" customFormat="1" ht="13.5" customHeight="1">
      <c r="A159" s="927" t="s">
        <v>657</v>
      </c>
      <c r="B159" s="850"/>
      <c r="C159" s="445">
        <v>997221655</v>
      </c>
      <c r="D159" s="36" t="s">
        <v>140</v>
      </c>
      <c r="E159" s="36" t="s">
        <v>125</v>
      </c>
      <c r="F159" s="928">
        <f>F155</f>
        <v>4.3789999999999996</v>
      </c>
      <c r="G159" s="132"/>
      <c r="H159" s="853">
        <f>F159*G159</f>
        <v>0</v>
      </c>
      <c r="I159" s="449" t="s">
        <v>738</v>
      </c>
      <c r="J159" s="450"/>
      <c r="K159" s="929"/>
      <c r="L159" s="929"/>
      <c r="M159" s="929"/>
      <c r="N159" s="929"/>
      <c r="O159" s="929"/>
      <c r="P159" s="929"/>
      <c r="Q159" s="450"/>
      <c r="R159" s="452"/>
      <c r="S159" s="452"/>
      <c r="T159" s="452"/>
      <c r="U159" s="452"/>
      <c r="V159" s="505"/>
      <c r="W159" s="505"/>
      <c r="X159" s="505"/>
      <c r="Y159" s="505"/>
      <c r="Z159" s="505"/>
      <c r="AA159" s="505"/>
      <c r="AB159" s="505"/>
      <c r="AC159" s="505"/>
      <c r="AD159" s="505"/>
      <c r="AE159" s="505"/>
      <c r="AF159" s="505"/>
      <c r="AG159" s="505"/>
      <c r="AH159" s="505"/>
      <c r="AI159" s="505"/>
      <c r="AJ159" s="505"/>
      <c r="AK159" s="505"/>
      <c r="AL159" s="505"/>
      <c r="AM159" s="505"/>
      <c r="AN159" s="505"/>
      <c r="AO159" s="505"/>
      <c r="AP159" s="505"/>
      <c r="AQ159" s="505"/>
      <c r="AR159" s="505"/>
      <c r="AS159" s="505"/>
      <c r="AT159" s="505"/>
      <c r="AU159" s="505"/>
      <c r="AV159" s="506"/>
      <c r="AW159" s="506"/>
      <c r="AX159" s="506"/>
    </row>
    <row r="160" spans="1:256" s="508" customFormat="1" ht="67.5" customHeight="1">
      <c r="A160" s="927"/>
      <c r="B160" s="850"/>
      <c r="C160" s="851"/>
      <c r="D160" s="388" t="s">
        <v>195</v>
      </c>
      <c r="E160" s="36"/>
      <c r="F160" s="928"/>
      <c r="G160" s="925"/>
      <c r="H160" s="848"/>
      <c r="I160" s="931"/>
      <c r="J160" s="540"/>
      <c r="K160" s="932"/>
      <c r="L160" s="460"/>
      <c r="M160" s="452"/>
      <c r="N160" s="452"/>
      <c r="O160" s="452"/>
      <c r="P160" s="452"/>
      <c r="Q160" s="452"/>
      <c r="R160" s="452"/>
      <c r="S160" s="452"/>
      <c r="T160" s="452"/>
      <c r="U160" s="452"/>
      <c r="V160" s="509"/>
      <c r="W160" s="509"/>
      <c r="X160" s="509"/>
      <c r="Y160" s="509"/>
      <c r="Z160" s="509"/>
      <c r="AA160" s="509"/>
      <c r="AB160" s="509"/>
      <c r="AC160" s="509"/>
      <c r="AD160" s="509"/>
      <c r="AE160" s="509"/>
      <c r="AF160" s="509"/>
      <c r="AG160" s="509"/>
      <c r="AH160" s="509"/>
      <c r="AI160" s="509"/>
      <c r="AJ160" s="509"/>
      <c r="AK160" s="509"/>
      <c r="AL160" s="509"/>
      <c r="AM160" s="509"/>
      <c r="AN160" s="509"/>
      <c r="AO160" s="509"/>
      <c r="AP160" s="509"/>
      <c r="AQ160" s="509"/>
      <c r="AR160" s="509"/>
      <c r="AS160" s="509"/>
      <c r="AT160" s="509"/>
      <c r="AU160" s="509"/>
    </row>
    <row r="161" spans="1:50" s="508" customFormat="1" ht="13.5" customHeight="1">
      <c r="A161" s="530">
        <v>48</v>
      </c>
      <c r="B161" s="424" t="s">
        <v>133</v>
      </c>
      <c r="C161" s="427" t="s">
        <v>141</v>
      </c>
      <c r="D161" s="34" t="s">
        <v>638</v>
      </c>
      <c r="E161" s="557" t="s">
        <v>125</v>
      </c>
      <c r="F161" s="534">
        <f>SUM(F162)</f>
        <v>0.83499999999999996</v>
      </c>
      <c r="G161" s="788">
        <f>SUM(H163:H166)/F161</f>
        <v>0</v>
      </c>
      <c r="H161" s="848">
        <f>F161*G161</f>
        <v>0</v>
      </c>
      <c r="I161" s="533" t="s">
        <v>739</v>
      </c>
      <c r="J161" s="1099"/>
      <c r="K161" s="509"/>
      <c r="L161" s="452"/>
      <c r="M161" s="452"/>
      <c r="N161" s="452"/>
      <c r="O161" s="452"/>
      <c r="P161" s="452"/>
      <c r="Q161" s="452"/>
      <c r="R161" s="452"/>
      <c r="S161" s="452"/>
      <c r="T161" s="452"/>
      <c r="U161" s="452"/>
      <c r="V161" s="509"/>
      <c r="W161" s="509"/>
      <c r="X161" s="509"/>
      <c r="Y161" s="509"/>
      <c r="Z161" s="509"/>
      <c r="AA161" s="509"/>
      <c r="AB161" s="509"/>
      <c r="AC161" s="509"/>
      <c r="AD161" s="509"/>
      <c r="AE161" s="509"/>
      <c r="AF161" s="509"/>
      <c r="AG161" s="509"/>
      <c r="AH161" s="509"/>
      <c r="AI161" s="509"/>
      <c r="AJ161" s="509"/>
      <c r="AK161" s="509"/>
      <c r="AL161" s="509"/>
      <c r="AM161" s="509"/>
      <c r="AN161" s="509"/>
      <c r="AO161" s="509"/>
      <c r="AP161" s="509"/>
      <c r="AQ161" s="509"/>
      <c r="AR161" s="509"/>
      <c r="AS161" s="509"/>
      <c r="AT161" s="509"/>
      <c r="AU161" s="509"/>
    </row>
    <row r="162" spans="1:50" s="508" customFormat="1" ht="13.5" customHeight="1">
      <c r="A162" s="849"/>
      <c r="B162" s="850"/>
      <c r="C162" s="851"/>
      <c r="D162" s="36" t="s">
        <v>837</v>
      </c>
      <c r="E162" s="36"/>
      <c r="F162" s="924">
        <f>0.615+0.22</f>
        <v>0.83499999999999996</v>
      </c>
      <c r="G162" s="933"/>
      <c r="H162" s="848"/>
      <c r="I162" s="926"/>
      <c r="J162" s="459"/>
      <c r="K162" s="452"/>
      <c r="L162" s="460"/>
      <c r="M162" s="452"/>
      <c r="N162" s="452"/>
      <c r="O162" s="452"/>
      <c r="P162" s="452"/>
      <c r="Q162" s="452"/>
      <c r="R162" s="452"/>
      <c r="S162" s="452"/>
      <c r="T162" s="452"/>
      <c r="U162" s="452"/>
      <c r="V162" s="452"/>
      <c r="W162" s="452"/>
      <c r="X162" s="452"/>
      <c r="Y162" s="452"/>
      <c r="Z162" s="452"/>
      <c r="AA162" s="452"/>
      <c r="AB162" s="452"/>
      <c r="AC162" s="452"/>
      <c r="AD162" s="452"/>
      <c r="AE162" s="452"/>
      <c r="AF162" s="452"/>
      <c r="AG162" s="452"/>
      <c r="AH162" s="452"/>
      <c r="AI162" s="452"/>
      <c r="AJ162" s="452"/>
      <c r="AK162" s="452"/>
      <c r="AL162" s="452"/>
      <c r="AM162" s="452"/>
      <c r="AN162" s="452"/>
      <c r="AO162" s="452"/>
      <c r="AP162" s="452"/>
      <c r="AQ162" s="452"/>
      <c r="AR162" s="452"/>
      <c r="AS162" s="452"/>
      <c r="AT162" s="452"/>
      <c r="AU162" s="452"/>
      <c r="AV162" s="541"/>
      <c r="AW162" s="541"/>
      <c r="AX162" s="541"/>
    </row>
    <row r="163" spans="1:50" s="508" customFormat="1" ht="13.5" customHeight="1">
      <c r="A163" s="927" t="s">
        <v>658</v>
      </c>
      <c r="B163" s="850"/>
      <c r="C163" s="445">
        <v>997221611</v>
      </c>
      <c r="D163" s="36" t="s">
        <v>137</v>
      </c>
      <c r="E163" s="36" t="s">
        <v>125</v>
      </c>
      <c r="F163" s="928">
        <f>F162</f>
        <v>0.83499999999999996</v>
      </c>
      <c r="G163" s="132"/>
      <c r="H163" s="853">
        <f>F163*G163</f>
        <v>0</v>
      </c>
      <c r="I163" s="449" t="s">
        <v>738</v>
      </c>
      <c r="J163" s="459"/>
      <c r="K163" s="929"/>
      <c r="L163" s="929"/>
      <c r="M163" s="929"/>
      <c r="N163" s="929"/>
      <c r="O163" s="929"/>
      <c r="P163" s="929"/>
      <c r="Q163" s="459"/>
      <c r="R163" s="452"/>
      <c r="S163" s="452"/>
      <c r="T163" s="452"/>
      <c r="U163" s="452"/>
      <c r="V163" s="452"/>
      <c r="W163" s="452"/>
      <c r="X163" s="452"/>
      <c r="Y163" s="452"/>
      <c r="Z163" s="452"/>
      <c r="AA163" s="452"/>
      <c r="AB163" s="452"/>
      <c r="AC163" s="452"/>
      <c r="AD163" s="452"/>
      <c r="AE163" s="452"/>
      <c r="AF163" s="452"/>
      <c r="AG163" s="452"/>
      <c r="AH163" s="452"/>
      <c r="AI163" s="452"/>
      <c r="AJ163" s="452"/>
      <c r="AK163" s="452"/>
      <c r="AL163" s="452"/>
      <c r="AM163" s="452"/>
      <c r="AN163" s="452"/>
      <c r="AO163" s="452"/>
      <c r="AP163" s="452"/>
      <c r="AQ163" s="452"/>
      <c r="AR163" s="452"/>
      <c r="AS163" s="452"/>
      <c r="AT163" s="452"/>
      <c r="AU163" s="452"/>
      <c r="AV163" s="541"/>
      <c r="AW163" s="541"/>
      <c r="AX163" s="541"/>
    </row>
    <row r="164" spans="1:50" s="508" customFormat="1" ht="13.5" customHeight="1">
      <c r="A164" s="927" t="s">
        <v>659</v>
      </c>
      <c r="B164" s="850"/>
      <c r="C164" s="445">
        <v>997221561</v>
      </c>
      <c r="D164" s="36" t="s">
        <v>142</v>
      </c>
      <c r="E164" s="36" t="s">
        <v>125</v>
      </c>
      <c r="F164" s="928">
        <f>F161</f>
        <v>0.83499999999999996</v>
      </c>
      <c r="G164" s="132"/>
      <c r="H164" s="930">
        <f>F164*G164</f>
        <v>0</v>
      </c>
      <c r="I164" s="449" t="s">
        <v>738</v>
      </c>
      <c r="J164" s="459"/>
      <c r="K164" s="929"/>
      <c r="L164" s="929"/>
      <c r="M164" s="929"/>
      <c r="N164" s="929"/>
      <c r="O164" s="1100"/>
      <c r="P164" s="929"/>
      <c r="Q164" s="459"/>
      <c r="R164" s="452"/>
      <c r="S164" s="452"/>
      <c r="T164" s="452"/>
      <c r="U164" s="452"/>
      <c r="V164" s="373"/>
      <c r="W164" s="373"/>
      <c r="X164" s="373"/>
      <c r="Y164" s="373"/>
      <c r="Z164" s="373"/>
      <c r="AA164" s="373"/>
      <c r="AB164" s="373"/>
      <c r="AC164" s="373"/>
      <c r="AD164" s="373"/>
      <c r="AE164" s="373"/>
      <c r="AF164" s="373"/>
      <c r="AG164" s="373"/>
      <c r="AH164" s="373"/>
      <c r="AI164" s="373"/>
      <c r="AJ164" s="373"/>
      <c r="AK164" s="373"/>
      <c r="AL164" s="373"/>
      <c r="AM164" s="373"/>
      <c r="AN164" s="373"/>
      <c r="AO164" s="373"/>
      <c r="AP164" s="373"/>
      <c r="AQ164" s="373"/>
      <c r="AR164" s="373"/>
      <c r="AS164" s="373"/>
      <c r="AT164" s="373"/>
      <c r="AU164" s="373"/>
      <c r="AV164" s="563"/>
      <c r="AW164" s="563"/>
      <c r="AX164" s="563"/>
    </row>
    <row r="165" spans="1:50" s="508" customFormat="1" ht="27" customHeight="1">
      <c r="A165" s="927" t="s">
        <v>660</v>
      </c>
      <c r="B165" s="850"/>
      <c r="C165" s="445">
        <v>997221569</v>
      </c>
      <c r="D165" s="36" t="s">
        <v>143</v>
      </c>
      <c r="E165" s="36" t="s">
        <v>125</v>
      </c>
      <c r="F165" s="928">
        <f>5*F162</f>
        <v>4.1749999999999998</v>
      </c>
      <c r="G165" s="132"/>
      <c r="H165" s="930">
        <f>F165*G165</f>
        <v>0</v>
      </c>
      <c r="I165" s="449" t="s">
        <v>738</v>
      </c>
      <c r="J165" s="450"/>
      <c r="K165" s="929"/>
      <c r="L165" s="929"/>
      <c r="M165" s="929"/>
      <c r="N165" s="929"/>
      <c r="O165" s="929"/>
      <c r="P165" s="929"/>
      <c r="Q165" s="450"/>
      <c r="R165" s="452"/>
      <c r="S165" s="452"/>
      <c r="T165" s="452"/>
      <c r="U165" s="452"/>
      <c r="V165" s="373"/>
      <c r="W165" s="373"/>
      <c r="X165" s="373"/>
      <c r="Y165" s="373"/>
      <c r="Z165" s="373"/>
      <c r="AA165" s="373"/>
      <c r="AB165" s="373"/>
      <c r="AC165" s="373"/>
      <c r="AD165" s="373"/>
      <c r="AE165" s="373"/>
      <c r="AF165" s="373"/>
      <c r="AG165" s="373"/>
      <c r="AH165" s="373"/>
      <c r="AI165" s="373"/>
      <c r="AJ165" s="373"/>
      <c r="AK165" s="373"/>
      <c r="AL165" s="373"/>
      <c r="AM165" s="373"/>
      <c r="AN165" s="373"/>
      <c r="AO165" s="373"/>
      <c r="AP165" s="373"/>
      <c r="AQ165" s="373"/>
      <c r="AR165" s="373"/>
      <c r="AS165" s="373"/>
      <c r="AT165" s="373"/>
      <c r="AU165" s="373"/>
      <c r="AV165" s="563"/>
      <c r="AW165" s="563"/>
      <c r="AX165" s="563"/>
    </row>
    <row r="166" spans="1:50" s="508" customFormat="1" ht="27" customHeight="1">
      <c r="A166" s="927" t="s">
        <v>661</v>
      </c>
      <c r="B166" s="850"/>
      <c r="C166" s="445" t="s">
        <v>194</v>
      </c>
      <c r="D166" s="36" t="s">
        <v>144</v>
      </c>
      <c r="E166" s="36" t="s">
        <v>125</v>
      </c>
      <c r="F166" s="928">
        <f>F162</f>
        <v>0.83499999999999996</v>
      </c>
      <c r="G166" s="132"/>
      <c r="H166" s="853">
        <f>F166*G166</f>
        <v>0</v>
      </c>
      <c r="I166" s="449" t="s">
        <v>740</v>
      </c>
      <c r="J166" s="450"/>
      <c r="K166" s="929"/>
      <c r="L166" s="929"/>
      <c r="M166" s="929"/>
      <c r="N166" s="929"/>
      <c r="O166" s="929"/>
      <c r="P166" s="929"/>
      <c r="Q166" s="450"/>
      <c r="R166" s="452"/>
      <c r="S166" s="452"/>
      <c r="T166" s="452"/>
      <c r="U166" s="452"/>
      <c r="V166" s="899"/>
      <c r="W166" s="899"/>
      <c r="X166" s="899"/>
      <c r="Y166" s="899"/>
      <c r="Z166" s="899"/>
      <c r="AA166" s="899"/>
      <c r="AB166" s="899"/>
      <c r="AC166" s="899"/>
      <c r="AD166" s="899"/>
      <c r="AE166" s="899"/>
      <c r="AF166" s="899"/>
      <c r="AG166" s="899"/>
      <c r="AH166" s="899"/>
      <c r="AI166" s="899"/>
      <c r="AJ166" s="899"/>
      <c r="AK166" s="899"/>
      <c r="AL166" s="899"/>
      <c r="AM166" s="899"/>
      <c r="AN166" s="899"/>
      <c r="AO166" s="899"/>
      <c r="AP166" s="899"/>
      <c r="AQ166" s="899"/>
      <c r="AR166" s="899"/>
      <c r="AS166" s="899"/>
      <c r="AT166" s="899"/>
      <c r="AU166" s="899"/>
      <c r="AV166" s="900"/>
      <c r="AW166" s="900"/>
      <c r="AX166" s="900"/>
    </row>
    <row r="167" spans="1:50" s="508" customFormat="1" ht="67.5" customHeight="1">
      <c r="A167" s="927"/>
      <c r="B167" s="850"/>
      <c r="C167" s="851"/>
      <c r="D167" s="388" t="s">
        <v>195</v>
      </c>
      <c r="E167" s="36"/>
      <c r="F167" s="928"/>
      <c r="G167" s="925"/>
      <c r="H167" s="848"/>
      <c r="I167" s="697"/>
      <c r="J167" s="1101"/>
      <c r="K167" s="1102"/>
      <c r="L167" s="693"/>
      <c r="M167" s="509"/>
      <c r="N167" s="509"/>
      <c r="O167" s="509"/>
      <c r="P167" s="509"/>
      <c r="Q167" s="509"/>
      <c r="R167" s="509"/>
      <c r="S167" s="509"/>
      <c r="T167" s="509"/>
      <c r="U167" s="509"/>
      <c r="V167" s="373"/>
      <c r="W167" s="373"/>
      <c r="X167" s="373"/>
      <c r="Y167" s="373"/>
      <c r="Z167" s="373"/>
      <c r="AA167" s="373"/>
      <c r="AB167" s="373"/>
      <c r="AC167" s="373"/>
      <c r="AD167" s="373"/>
      <c r="AE167" s="373"/>
      <c r="AF167" s="373"/>
      <c r="AG167" s="373"/>
      <c r="AH167" s="373"/>
      <c r="AI167" s="373"/>
      <c r="AJ167" s="373"/>
      <c r="AK167" s="373"/>
      <c r="AL167" s="373"/>
      <c r="AM167" s="373"/>
      <c r="AN167" s="373"/>
      <c r="AO167" s="373"/>
      <c r="AP167" s="373"/>
      <c r="AQ167" s="373"/>
      <c r="AR167" s="373"/>
      <c r="AS167" s="373"/>
      <c r="AT167" s="373"/>
      <c r="AU167" s="373"/>
      <c r="AV167" s="563"/>
      <c r="AW167" s="563"/>
      <c r="AX167" s="563"/>
    </row>
    <row r="168" spans="1:50" s="508" customFormat="1" ht="27" customHeight="1">
      <c r="A168" s="530">
        <v>49</v>
      </c>
      <c r="B168" s="424" t="s">
        <v>133</v>
      </c>
      <c r="C168" s="427" t="s">
        <v>251</v>
      </c>
      <c r="D168" s="34" t="s">
        <v>635</v>
      </c>
      <c r="E168" s="557" t="s">
        <v>125</v>
      </c>
      <c r="F168" s="534">
        <f>SUM(F169)</f>
        <v>3.06</v>
      </c>
      <c r="G168" s="788">
        <f>SUM(H170:H173)/F168</f>
        <v>0</v>
      </c>
      <c r="H168" s="848">
        <f>F168*G168</f>
        <v>0</v>
      </c>
      <c r="I168" s="533" t="s">
        <v>739</v>
      </c>
      <c r="J168" s="509"/>
      <c r="K168" s="509"/>
      <c r="L168" s="509"/>
      <c r="M168" s="509"/>
      <c r="N168" s="509"/>
      <c r="O168" s="509"/>
      <c r="P168" s="509"/>
      <c r="Q168" s="509"/>
      <c r="R168" s="509"/>
      <c r="S168" s="509"/>
      <c r="T168" s="509"/>
      <c r="U168" s="509"/>
      <c r="V168" s="373"/>
      <c r="W168" s="373"/>
      <c r="X168" s="373"/>
      <c r="Y168" s="373"/>
      <c r="Z168" s="373"/>
      <c r="AA168" s="373"/>
      <c r="AB168" s="373"/>
      <c r="AC168" s="373"/>
      <c r="AD168" s="373"/>
      <c r="AE168" s="373"/>
      <c r="AF168" s="373"/>
      <c r="AG168" s="373"/>
      <c r="AH168" s="373"/>
      <c r="AI168" s="373"/>
      <c r="AJ168" s="373"/>
      <c r="AK168" s="373"/>
      <c r="AL168" s="373"/>
      <c r="AM168" s="373"/>
      <c r="AN168" s="373"/>
      <c r="AO168" s="373"/>
      <c r="AP168" s="373"/>
      <c r="AQ168" s="373"/>
      <c r="AR168" s="373"/>
      <c r="AS168" s="373"/>
      <c r="AT168" s="373"/>
      <c r="AU168" s="373"/>
      <c r="AV168" s="563"/>
      <c r="AW168" s="563"/>
      <c r="AX168" s="563"/>
    </row>
    <row r="169" spans="1:50" s="508" customFormat="1" ht="13.5" customHeight="1">
      <c r="A169" s="849"/>
      <c r="B169" s="850"/>
      <c r="C169" s="851"/>
      <c r="D169" s="36" t="s">
        <v>514</v>
      </c>
      <c r="E169" s="36"/>
      <c r="F169" s="924">
        <f>3.06</f>
        <v>3.06</v>
      </c>
      <c r="G169" s="933"/>
      <c r="H169" s="934"/>
      <c r="I169" s="926"/>
      <c r="J169" s="459"/>
      <c r="K169" s="452"/>
      <c r="L169" s="460"/>
      <c r="M169" s="452"/>
      <c r="N169" s="452"/>
      <c r="O169" s="452"/>
      <c r="P169" s="452"/>
      <c r="Q169" s="452"/>
      <c r="R169" s="452"/>
      <c r="S169" s="452"/>
      <c r="T169" s="509"/>
      <c r="U169" s="509"/>
      <c r="V169" s="373"/>
      <c r="W169" s="373"/>
      <c r="X169" s="373"/>
      <c r="Y169" s="373"/>
      <c r="Z169" s="373"/>
      <c r="AA169" s="373"/>
      <c r="AB169" s="373"/>
      <c r="AC169" s="373"/>
      <c r="AD169" s="373"/>
      <c r="AE169" s="373"/>
      <c r="AF169" s="373"/>
      <c r="AG169" s="373"/>
      <c r="AH169" s="373"/>
      <c r="AI169" s="373"/>
      <c r="AJ169" s="373"/>
      <c r="AK169" s="373"/>
      <c r="AL169" s="373"/>
      <c r="AM169" s="373"/>
      <c r="AN169" s="373"/>
      <c r="AO169" s="373"/>
      <c r="AP169" s="373"/>
      <c r="AQ169" s="373"/>
      <c r="AR169" s="373"/>
      <c r="AS169" s="373"/>
      <c r="AT169" s="373"/>
      <c r="AU169" s="373"/>
      <c r="AV169" s="563"/>
      <c r="AW169" s="563"/>
      <c r="AX169" s="563"/>
    </row>
    <row r="170" spans="1:50" s="508" customFormat="1" ht="13.5" customHeight="1">
      <c r="A170" s="927" t="s">
        <v>662</v>
      </c>
      <c r="B170" s="850"/>
      <c r="C170" s="445">
        <v>997221611</v>
      </c>
      <c r="D170" s="36" t="s">
        <v>137</v>
      </c>
      <c r="E170" s="36" t="s">
        <v>125</v>
      </c>
      <c r="F170" s="928">
        <f>F169</f>
        <v>3.06</v>
      </c>
      <c r="G170" s="132"/>
      <c r="H170" s="853">
        <f>F170*G170</f>
        <v>0</v>
      </c>
      <c r="I170" s="449" t="s">
        <v>738</v>
      </c>
      <c r="J170" s="459"/>
      <c r="K170" s="929"/>
      <c r="L170" s="929"/>
      <c r="M170" s="929"/>
      <c r="N170" s="929"/>
      <c r="O170" s="929"/>
      <c r="P170" s="929"/>
      <c r="Q170" s="509"/>
      <c r="R170" s="509"/>
      <c r="S170" s="452"/>
      <c r="T170" s="459"/>
      <c r="U170" s="509"/>
      <c r="V170" s="899"/>
      <c r="W170" s="899"/>
      <c r="X170" s="899"/>
      <c r="Y170" s="899"/>
      <c r="Z170" s="899"/>
      <c r="AA170" s="899"/>
      <c r="AB170" s="899"/>
      <c r="AC170" s="899"/>
      <c r="AD170" s="899"/>
      <c r="AE170" s="899"/>
      <c r="AF170" s="899"/>
      <c r="AG170" s="899"/>
      <c r="AH170" s="899"/>
      <c r="AI170" s="899"/>
      <c r="AJ170" s="899"/>
      <c r="AK170" s="899"/>
      <c r="AL170" s="899"/>
      <c r="AM170" s="899"/>
      <c r="AN170" s="899"/>
      <c r="AO170" s="899"/>
      <c r="AP170" s="899"/>
      <c r="AQ170" s="899"/>
      <c r="AR170" s="899"/>
      <c r="AS170" s="899"/>
      <c r="AT170" s="899"/>
      <c r="AU170" s="899"/>
      <c r="AV170" s="900"/>
      <c r="AW170" s="900"/>
      <c r="AX170" s="900"/>
    </row>
    <row r="171" spans="1:50" s="508" customFormat="1" ht="13.5" customHeight="1">
      <c r="A171" s="927" t="s">
        <v>663</v>
      </c>
      <c r="B171" s="850"/>
      <c r="C171" s="445">
        <v>997221561</v>
      </c>
      <c r="D171" s="36" t="s">
        <v>142</v>
      </c>
      <c r="E171" s="36" t="s">
        <v>125</v>
      </c>
      <c r="F171" s="928">
        <f>F168</f>
        <v>3.06</v>
      </c>
      <c r="G171" s="132"/>
      <c r="H171" s="930">
        <f>F171*G171</f>
        <v>0</v>
      </c>
      <c r="I171" s="449" t="s">
        <v>738</v>
      </c>
      <c r="J171" s="459"/>
      <c r="K171" s="929"/>
      <c r="L171" s="929"/>
      <c r="M171" s="929"/>
      <c r="N171" s="929"/>
      <c r="O171" s="929"/>
      <c r="P171" s="929"/>
      <c r="Q171" s="509"/>
      <c r="R171" s="509"/>
      <c r="S171" s="452"/>
      <c r="T171" s="459"/>
      <c r="U171" s="509"/>
      <c r="V171" s="373"/>
      <c r="W171" s="373"/>
      <c r="X171" s="373"/>
      <c r="Y171" s="373"/>
      <c r="Z171" s="373"/>
      <c r="AA171" s="373"/>
      <c r="AB171" s="373"/>
      <c r="AC171" s="373"/>
      <c r="AD171" s="373"/>
      <c r="AE171" s="373"/>
      <c r="AF171" s="373"/>
      <c r="AG171" s="373"/>
      <c r="AH171" s="373"/>
      <c r="AI171" s="373"/>
      <c r="AJ171" s="373"/>
      <c r="AK171" s="373"/>
      <c r="AL171" s="373"/>
      <c r="AM171" s="373"/>
      <c r="AN171" s="373"/>
      <c r="AO171" s="373"/>
      <c r="AP171" s="373"/>
      <c r="AQ171" s="373"/>
      <c r="AR171" s="373"/>
      <c r="AS171" s="373"/>
      <c r="AT171" s="373"/>
      <c r="AU171" s="373"/>
      <c r="AV171" s="563"/>
      <c r="AW171" s="563"/>
      <c r="AX171" s="563"/>
    </row>
    <row r="172" spans="1:50" s="508" customFormat="1" ht="27" customHeight="1">
      <c r="A172" s="927" t="s">
        <v>664</v>
      </c>
      <c r="B172" s="850"/>
      <c r="C172" s="445">
        <v>997221569</v>
      </c>
      <c r="D172" s="36" t="s">
        <v>143</v>
      </c>
      <c r="E172" s="36" t="s">
        <v>125</v>
      </c>
      <c r="F172" s="928">
        <f>5*F169</f>
        <v>15.3</v>
      </c>
      <c r="G172" s="132"/>
      <c r="H172" s="930">
        <f>F172*G172</f>
        <v>0</v>
      </c>
      <c r="I172" s="449" t="s">
        <v>738</v>
      </c>
      <c r="J172" s="450"/>
      <c r="K172" s="929"/>
      <c r="L172" s="929"/>
      <c r="M172" s="929"/>
      <c r="N172" s="929"/>
      <c r="O172" s="929"/>
      <c r="P172" s="929"/>
      <c r="Q172" s="509"/>
      <c r="R172" s="509"/>
      <c r="S172" s="452"/>
      <c r="T172" s="450"/>
      <c r="U172" s="509"/>
      <c r="V172" s="452"/>
      <c r="W172" s="452"/>
      <c r="X172" s="452"/>
      <c r="Y172" s="452"/>
      <c r="Z172" s="452"/>
      <c r="AA172" s="452"/>
      <c r="AB172" s="452"/>
      <c r="AC172" s="452"/>
      <c r="AD172" s="452"/>
      <c r="AE172" s="452"/>
      <c r="AF172" s="452"/>
      <c r="AG172" s="452"/>
      <c r="AH172" s="452"/>
      <c r="AI172" s="452"/>
      <c r="AJ172" s="452"/>
      <c r="AK172" s="452"/>
      <c r="AL172" s="452"/>
      <c r="AM172" s="452"/>
      <c r="AN172" s="452"/>
      <c r="AO172" s="452"/>
      <c r="AP172" s="452"/>
      <c r="AQ172" s="452"/>
      <c r="AR172" s="452"/>
      <c r="AS172" s="452"/>
      <c r="AT172" s="452"/>
      <c r="AU172" s="452"/>
      <c r="AV172" s="541"/>
      <c r="AW172" s="541"/>
      <c r="AX172" s="541"/>
    </row>
    <row r="173" spans="1:50" s="508" customFormat="1" ht="27" customHeight="1">
      <c r="A173" s="927" t="s">
        <v>665</v>
      </c>
      <c r="B173" s="850"/>
      <c r="C173" s="445">
        <v>997221645</v>
      </c>
      <c r="D173" s="36" t="s">
        <v>183</v>
      </c>
      <c r="E173" s="36" t="s">
        <v>125</v>
      </c>
      <c r="F173" s="928">
        <f>F169</f>
        <v>3.06</v>
      </c>
      <c r="G173" s="132"/>
      <c r="H173" s="853">
        <f>F173*G173</f>
        <v>0</v>
      </c>
      <c r="I173" s="449" t="s">
        <v>738</v>
      </c>
      <c r="J173" s="450"/>
      <c r="K173" s="929"/>
      <c r="L173" s="929"/>
      <c r="M173" s="929"/>
      <c r="N173" s="929"/>
      <c r="O173" s="929"/>
      <c r="P173" s="929"/>
      <c r="Q173" s="509"/>
      <c r="R173" s="509"/>
      <c r="S173" s="452"/>
      <c r="T173" s="450"/>
      <c r="U173" s="509"/>
      <c r="V173" s="452"/>
      <c r="W173" s="452"/>
      <c r="X173" s="452"/>
      <c r="Y173" s="452"/>
      <c r="Z173" s="452"/>
      <c r="AA173" s="452"/>
      <c r="AB173" s="452"/>
      <c r="AC173" s="452"/>
      <c r="AD173" s="452"/>
      <c r="AE173" s="452"/>
      <c r="AF173" s="452"/>
      <c r="AG173" s="452"/>
      <c r="AH173" s="452"/>
      <c r="AI173" s="452"/>
      <c r="AJ173" s="452"/>
      <c r="AK173" s="452"/>
      <c r="AL173" s="452"/>
      <c r="AM173" s="452"/>
      <c r="AN173" s="452"/>
      <c r="AO173" s="452"/>
      <c r="AP173" s="452"/>
      <c r="AQ173" s="452"/>
      <c r="AR173" s="452"/>
      <c r="AS173" s="452"/>
      <c r="AT173" s="452"/>
      <c r="AU173" s="452"/>
      <c r="AV173" s="541"/>
      <c r="AW173" s="541"/>
      <c r="AX173" s="541"/>
    </row>
    <row r="174" spans="1:50" s="508" customFormat="1" ht="67.5" customHeight="1">
      <c r="A174" s="927"/>
      <c r="B174" s="850"/>
      <c r="C174" s="851"/>
      <c r="D174" s="388" t="s">
        <v>195</v>
      </c>
      <c r="E174" s="36"/>
      <c r="F174" s="928"/>
      <c r="G174" s="925"/>
      <c r="H174" s="848"/>
      <c r="I174" s="697"/>
      <c r="J174" s="1103"/>
      <c r="K174" s="920"/>
      <c r="L174" s="887"/>
      <c r="M174" s="921"/>
      <c r="N174" s="921"/>
      <c r="O174" s="921"/>
      <c r="P174" s="922"/>
      <c r="Q174" s="923"/>
      <c r="R174" s="923"/>
      <c r="S174" s="574"/>
      <c r="T174" s="452"/>
      <c r="U174" s="452"/>
      <c r="V174" s="452"/>
      <c r="W174" s="452"/>
      <c r="X174" s="452"/>
      <c r="Y174" s="452"/>
      <c r="Z174" s="452"/>
      <c r="AA174" s="452"/>
      <c r="AB174" s="452"/>
      <c r="AC174" s="452"/>
      <c r="AD174" s="452"/>
      <c r="AE174" s="452"/>
      <c r="AF174" s="452"/>
      <c r="AG174" s="452"/>
      <c r="AH174" s="452"/>
      <c r="AI174" s="452"/>
      <c r="AJ174" s="452"/>
      <c r="AK174" s="452"/>
      <c r="AL174" s="452"/>
      <c r="AM174" s="452"/>
      <c r="AN174" s="452"/>
      <c r="AO174" s="452"/>
      <c r="AP174" s="452"/>
      <c r="AQ174" s="452"/>
      <c r="AR174" s="452"/>
      <c r="AS174" s="452"/>
      <c r="AT174" s="452"/>
      <c r="AU174" s="452"/>
      <c r="AV174" s="541"/>
      <c r="AW174" s="541"/>
      <c r="AX174" s="541"/>
    </row>
    <row r="175" spans="1:50" s="506" customFormat="1" ht="13.5" customHeight="1">
      <c r="A175" s="794"/>
      <c r="B175" s="794"/>
      <c r="C175" s="1017" t="s">
        <v>145</v>
      </c>
      <c r="D175" s="694" t="s">
        <v>146</v>
      </c>
      <c r="E175" s="694"/>
      <c r="F175" s="695"/>
      <c r="G175" s="696"/>
      <c r="H175" s="696">
        <f>SUM(H176:H180)</f>
        <v>0</v>
      </c>
      <c r="I175" s="697"/>
      <c r="J175" s="919"/>
      <c r="K175" s="920"/>
      <c r="L175" s="887"/>
      <c r="M175" s="662"/>
      <c r="N175" s="921"/>
      <c r="O175" s="921"/>
      <c r="P175" s="922"/>
      <c r="Q175" s="923"/>
      <c r="R175" s="923"/>
      <c r="S175" s="574"/>
      <c r="T175" s="373"/>
      <c r="U175" s="373"/>
      <c r="V175" s="373"/>
      <c r="W175" s="373"/>
      <c r="X175" s="373"/>
      <c r="Y175" s="373"/>
      <c r="Z175" s="373"/>
      <c r="AA175" s="373"/>
      <c r="AB175" s="373"/>
      <c r="AC175" s="373"/>
      <c r="AD175" s="373"/>
      <c r="AE175" s="373"/>
      <c r="AF175" s="373"/>
      <c r="AG175" s="373"/>
      <c r="AH175" s="373"/>
      <c r="AI175" s="373"/>
      <c r="AJ175" s="373"/>
      <c r="AK175" s="373"/>
      <c r="AL175" s="373"/>
      <c r="AM175" s="373"/>
      <c r="AN175" s="373"/>
      <c r="AO175" s="373"/>
      <c r="AP175" s="373"/>
      <c r="AQ175" s="373"/>
      <c r="AR175" s="373"/>
      <c r="AS175" s="373"/>
      <c r="AT175" s="373"/>
      <c r="AU175" s="373"/>
      <c r="AV175" s="563"/>
      <c r="AW175" s="563"/>
      <c r="AX175" s="563"/>
    </row>
    <row r="176" spans="1:50" s="508" customFormat="1" ht="13.5" customHeight="1">
      <c r="A176" s="530">
        <v>50</v>
      </c>
      <c r="B176" s="700" t="s">
        <v>119</v>
      </c>
      <c r="C176" s="34">
        <v>998223011</v>
      </c>
      <c r="D176" s="34" t="s">
        <v>394</v>
      </c>
      <c r="E176" s="34" t="s">
        <v>125</v>
      </c>
      <c r="F176" s="936">
        <f>(0.759+0.126+0.02+0.15+0.555)</f>
        <v>1.6099999999999999</v>
      </c>
      <c r="G176" s="79"/>
      <c r="H176" s="532">
        <f>F176*G176</f>
        <v>0</v>
      </c>
      <c r="I176" s="533" t="s">
        <v>741</v>
      </c>
      <c r="J176" s="937"/>
      <c r="K176" s="938"/>
      <c r="L176" s="662"/>
      <c r="M176" s="509"/>
      <c r="N176" s="662"/>
      <c r="O176" s="662"/>
      <c r="P176" s="662"/>
      <c r="Q176" s="662"/>
      <c r="R176" s="662"/>
      <c r="S176" s="662"/>
      <c r="T176" s="662"/>
      <c r="U176" s="662"/>
      <c r="V176" s="662"/>
      <c r="W176" s="662"/>
      <c r="X176" s="662"/>
      <c r="Y176" s="662"/>
      <c r="Z176" s="662"/>
      <c r="AA176" s="662"/>
      <c r="AB176" s="662"/>
      <c r="AC176" s="662"/>
      <c r="AD176" s="662"/>
      <c r="AE176" s="662"/>
      <c r="AF176" s="662"/>
      <c r="AG176" s="662"/>
      <c r="AH176" s="662"/>
      <c r="AI176" s="662"/>
      <c r="AJ176" s="662"/>
      <c r="AK176" s="662"/>
      <c r="AL176" s="662"/>
      <c r="AM176" s="662"/>
      <c r="AN176" s="662"/>
      <c r="AO176" s="662"/>
      <c r="AP176" s="662"/>
      <c r="AQ176" s="662"/>
      <c r="AR176" s="662"/>
      <c r="AS176" s="662"/>
      <c r="AT176" s="662"/>
      <c r="AU176" s="662"/>
      <c r="AV176" s="663"/>
      <c r="AW176" s="663"/>
      <c r="AX176" s="663"/>
    </row>
    <row r="177" spans="1:256" s="508" customFormat="1" ht="27" customHeight="1">
      <c r="A177" s="530">
        <v>51</v>
      </c>
      <c r="B177" s="700" t="s">
        <v>119</v>
      </c>
      <c r="C177" s="34">
        <v>998225111</v>
      </c>
      <c r="D177" s="34" t="s">
        <v>184</v>
      </c>
      <c r="E177" s="34" t="s">
        <v>125</v>
      </c>
      <c r="F177" s="936">
        <f>24.087-F176-F178</f>
        <v>22.396394000000001</v>
      </c>
      <c r="G177" s="79"/>
      <c r="H177" s="532">
        <f>F177*G177</f>
        <v>0</v>
      </c>
      <c r="I177" s="533" t="s">
        <v>741</v>
      </c>
      <c r="J177" s="937"/>
      <c r="K177" s="938"/>
      <c r="L177" s="662"/>
      <c r="M177" s="662"/>
      <c r="N177" s="662"/>
      <c r="O177" s="662"/>
      <c r="P177" s="662"/>
      <c r="Q177" s="662"/>
      <c r="R177" s="662"/>
      <c r="S177" s="662"/>
      <c r="T177" s="662"/>
      <c r="U177" s="662"/>
      <c r="V177" s="662"/>
      <c r="W177" s="662"/>
      <c r="X177" s="662"/>
      <c r="Y177" s="662"/>
      <c r="Z177" s="662"/>
      <c r="AA177" s="662"/>
      <c r="AB177" s="662"/>
      <c r="AC177" s="662"/>
      <c r="AD177" s="662"/>
      <c r="AE177" s="662"/>
      <c r="AF177" s="662"/>
      <c r="AG177" s="662"/>
      <c r="AH177" s="662"/>
      <c r="AI177" s="662"/>
      <c r="AJ177" s="662"/>
      <c r="AK177" s="662"/>
      <c r="AL177" s="662"/>
      <c r="AM177" s="662"/>
      <c r="AN177" s="662"/>
      <c r="AO177" s="662"/>
      <c r="AP177" s="662"/>
      <c r="AQ177" s="662"/>
      <c r="AR177" s="662"/>
      <c r="AS177" s="662"/>
      <c r="AT177" s="662"/>
      <c r="AU177" s="662"/>
      <c r="AV177" s="663"/>
      <c r="AW177" s="663"/>
      <c r="AX177" s="663"/>
    </row>
    <row r="178" spans="1:256" s="541" customFormat="1" ht="13.5" customHeight="1">
      <c r="A178" s="1104">
        <v>52</v>
      </c>
      <c r="B178" s="1105">
        <v>231</v>
      </c>
      <c r="C178" s="537">
        <v>998231311</v>
      </c>
      <c r="D178" s="537" t="s">
        <v>147</v>
      </c>
      <c r="E178" s="1105" t="s">
        <v>125</v>
      </c>
      <c r="F178" s="936">
        <v>8.0605999999999997E-2</v>
      </c>
      <c r="G178" s="90"/>
      <c r="H178" s="1106">
        <f>F178*G178</f>
        <v>0</v>
      </c>
      <c r="I178" s="533" t="s">
        <v>741</v>
      </c>
      <c r="J178" s="937"/>
      <c r="K178" s="938"/>
      <c r="L178" s="662"/>
      <c r="M178" s="662"/>
      <c r="N178" s="662"/>
      <c r="O178" s="662"/>
      <c r="P178" s="662"/>
      <c r="Q178" s="662"/>
      <c r="R178" s="662"/>
      <c r="S178" s="662"/>
      <c r="T178" s="662"/>
      <c r="U178" s="662"/>
      <c r="V178" s="662"/>
      <c r="W178" s="662"/>
      <c r="X178" s="662"/>
      <c r="Y178" s="662"/>
      <c r="Z178" s="662"/>
      <c r="AA178" s="662"/>
      <c r="AB178" s="662"/>
      <c r="AC178" s="662"/>
      <c r="AD178" s="662"/>
      <c r="AE178" s="662"/>
      <c r="AF178" s="662"/>
      <c r="AG178" s="662"/>
      <c r="AH178" s="662"/>
      <c r="AI178" s="662"/>
      <c r="AJ178" s="662"/>
      <c r="AK178" s="662"/>
      <c r="AL178" s="662"/>
      <c r="AM178" s="662"/>
      <c r="AN178" s="662"/>
      <c r="AO178" s="662"/>
      <c r="AP178" s="662"/>
      <c r="AQ178" s="662"/>
      <c r="AR178" s="662"/>
      <c r="AS178" s="662"/>
      <c r="AT178" s="662"/>
      <c r="AU178" s="662"/>
      <c r="AV178" s="663"/>
      <c r="AW178" s="663"/>
      <c r="AX178" s="663"/>
    </row>
    <row r="179" spans="1:256" s="506" customFormat="1" ht="13.5" customHeight="1">
      <c r="A179" s="530">
        <v>53</v>
      </c>
      <c r="B179" s="34" t="s">
        <v>148</v>
      </c>
      <c r="C179" s="34" t="s">
        <v>149</v>
      </c>
      <c r="D179" s="34" t="s">
        <v>150</v>
      </c>
      <c r="E179" s="34" t="s">
        <v>151</v>
      </c>
      <c r="F179" s="534">
        <f>F180</f>
        <v>10</v>
      </c>
      <c r="G179" s="79"/>
      <c r="H179" s="532">
        <f>F179*G179</f>
        <v>0</v>
      </c>
      <c r="I179" s="533" t="s">
        <v>741</v>
      </c>
      <c r="J179" s="937"/>
      <c r="K179" s="938"/>
      <c r="L179" s="662"/>
      <c r="M179" s="662"/>
      <c r="N179" s="662"/>
      <c r="O179" s="662"/>
      <c r="P179" s="662"/>
      <c r="Q179" s="662"/>
      <c r="R179" s="662"/>
      <c r="S179" s="662"/>
      <c r="T179" s="662"/>
      <c r="U179" s="662"/>
      <c r="V179" s="662"/>
      <c r="W179" s="662"/>
      <c r="X179" s="662"/>
      <c r="Y179" s="662"/>
      <c r="Z179" s="662"/>
      <c r="AA179" s="662"/>
      <c r="AB179" s="662"/>
      <c r="AC179" s="662"/>
      <c r="AD179" s="662"/>
      <c r="AE179" s="662"/>
      <c r="AF179" s="662"/>
      <c r="AG179" s="662"/>
      <c r="AH179" s="662"/>
      <c r="AI179" s="662"/>
      <c r="AJ179" s="662"/>
      <c r="AK179" s="662"/>
      <c r="AL179" s="662"/>
      <c r="AM179" s="662"/>
      <c r="AN179" s="662"/>
      <c r="AO179" s="662"/>
      <c r="AP179" s="662"/>
      <c r="AQ179" s="662"/>
      <c r="AR179" s="662"/>
      <c r="AS179" s="662"/>
      <c r="AT179" s="662"/>
      <c r="AU179" s="662"/>
      <c r="AV179" s="663"/>
      <c r="AW179" s="663"/>
      <c r="AX179" s="663"/>
    </row>
    <row r="180" spans="1:256" s="506" customFormat="1" ht="27" customHeight="1">
      <c r="A180" s="530"/>
      <c r="B180" s="34"/>
      <c r="C180" s="674"/>
      <c r="D180" s="36" t="s">
        <v>165</v>
      </c>
      <c r="E180" s="674"/>
      <c r="F180" s="675">
        <v>10</v>
      </c>
      <c r="G180" s="676"/>
      <c r="H180" s="676"/>
      <c r="I180" s="677"/>
      <c r="J180" s="937"/>
      <c r="K180" s="938"/>
      <c r="L180" s="662"/>
      <c r="M180" s="662"/>
      <c r="N180" s="662"/>
      <c r="O180" s="662"/>
      <c r="P180" s="662"/>
      <c r="Q180" s="662"/>
      <c r="R180" s="662"/>
      <c r="S180" s="662"/>
      <c r="T180" s="662"/>
      <c r="U180" s="662"/>
      <c r="V180" s="662"/>
      <c r="W180" s="662"/>
      <c r="X180" s="662"/>
      <c r="Y180" s="662"/>
      <c r="Z180" s="662"/>
      <c r="AA180" s="662"/>
      <c r="AB180" s="662"/>
      <c r="AC180" s="662"/>
      <c r="AD180" s="662"/>
      <c r="AE180" s="662"/>
      <c r="AF180" s="662"/>
      <c r="AG180" s="662"/>
      <c r="AH180" s="662"/>
      <c r="AI180" s="662"/>
      <c r="AJ180" s="662"/>
      <c r="AK180" s="662"/>
      <c r="AL180" s="662"/>
      <c r="AM180" s="662"/>
      <c r="AN180" s="662"/>
      <c r="AO180" s="662"/>
      <c r="AP180" s="662"/>
      <c r="AQ180" s="662"/>
      <c r="AR180" s="662"/>
      <c r="AS180" s="662"/>
      <c r="AT180" s="662"/>
      <c r="AU180" s="662"/>
      <c r="AV180" s="663"/>
      <c r="AW180" s="663"/>
      <c r="AX180" s="663"/>
    </row>
    <row r="181" spans="1:256" s="947" customFormat="1" ht="21" customHeight="1">
      <c r="A181" s="939"/>
      <c r="B181" s="939"/>
      <c r="C181" s="940" t="s">
        <v>85</v>
      </c>
      <c r="D181" s="606" t="s">
        <v>86</v>
      </c>
      <c r="E181" s="606"/>
      <c r="F181" s="1107"/>
      <c r="G181" s="942"/>
      <c r="H181" s="942">
        <f>H182+H199</f>
        <v>0</v>
      </c>
      <c r="I181" s="1108"/>
      <c r="J181" s="944"/>
      <c r="K181" s="945"/>
      <c r="L181" s="945"/>
      <c r="M181" s="945"/>
      <c r="N181" s="505"/>
      <c r="O181" s="505"/>
      <c r="P181" s="505"/>
      <c r="Q181" s="505"/>
      <c r="R181" s="505"/>
      <c r="S181" s="505"/>
      <c r="T181" s="505"/>
      <c r="U181" s="505"/>
      <c r="V181" s="505"/>
      <c r="W181" s="505"/>
      <c r="X181" s="505"/>
      <c r="Y181" s="505"/>
      <c r="Z181" s="662"/>
      <c r="AA181" s="662"/>
      <c r="AB181" s="662"/>
      <c r="AC181" s="662"/>
      <c r="AD181" s="662"/>
      <c r="AE181" s="662"/>
      <c r="AF181" s="662"/>
      <c r="AG181" s="662"/>
      <c r="AH181" s="662"/>
      <c r="AI181" s="662"/>
      <c r="AJ181" s="662"/>
      <c r="AK181" s="662"/>
      <c r="AL181" s="662"/>
      <c r="AM181" s="662"/>
      <c r="AN181" s="662"/>
      <c r="AO181" s="662"/>
      <c r="AP181" s="662"/>
      <c r="AQ181" s="662"/>
      <c r="AR181" s="662"/>
      <c r="AS181" s="662"/>
      <c r="AT181" s="662"/>
      <c r="AU181" s="662"/>
      <c r="AV181" s="662"/>
      <c r="AW181" s="662"/>
      <c r="AX181" s="662"/>
      <c r="AY181" s="946"/>
      <c r="AZ181" s="946"/>
      <c r="BA181" s="946"/>
      <c r="BB181" s="946"/>
    </row>
    <row r="182" spans="1:256" s="947" customFormat="1" ht="13.5" customHeight="1">
      <c r="A182" s="939"/>
      <c r="B182" s="939"/>
      <c r="C182" s="940" t="s">
        <v>87</v>
      </c>
      <c r="D182" s="940" t="s">
        <v>246</v>
      </c>
      <c r="E182" s="940"/>
      <c r="F182" s="941"/>
      <c r="G182" s="942"/>
      <c r="H182" s="942">
        <f>SUM(H183:H198)</f>
        <v>0</v>
      </c>
      <c r="I182" s="1109"/>
      <c r="J182" s="505"/>
      <c r="K182" s="505"/>
      <c r="L182" s="505"/>
      <c r="M182" s="505"/>
      <c r="N182" s="505"/>
      <c r="O182" s="505"/>
      <c r="P182" s="505"/>
      <c r="Q182" s="505"/>
      <c r="R182" s="505"/>
      <c r="S182" s="505"/>
      <c r="T182" s="505"/>
      <c r="U182" s="505"/>
      <c r="V182" s="505"/>
      <c r="W182" s="505"/>
      <c r="X182" s="505"/>
      <c r="Y182" s="505"/>
      <c r="Z182" s="662"/>
      <c r="AA182" s="662"/>
      <c r="AB182" s="662"/>
      <c r="AC182" s="662"/>
      <c r="AD182" s="662"/>
      <c r="AE182" s="662"/>
      <c r="AF182" s="662"/>
      <c r="AG182" s="662"/>
      <c r="AH182" s="662"/>
      <c r="AI182" s="662"/>
      <c r="AJ182" s="662"/>
      <c r="AK182" s="662"/>
      <c r="AL182" s="662"/>
      <c r="AM182" s="662"/>
      <c r="AN182" s="662"/>
      <c r="AO182" s="662"/>
      <c r="AP182" s="662"/>
      <c r="AQ182" s="662"/>
      <c r="AR182" s="662"/>
      <c r="AS182" s="662"/>
      <c r="AT182" s="662"/>
      <c r="AU182" s="662"/>
      <c r="AV182" s="662"/>
      <c r="AW182" s="662"/>
      <c r="AX182" s="662"/>
      <c r="AY182" s="946"/>
      <c r="AZ182" s="946"/>
      <c r="BA182" s="946"/>
      <c r="BB182" s="946"/>
    </row>
    <row r="183" spans="1:256" s="506" customFormat="1" ht="13.5" customHeight="1">
      <c r="A183" s="530">
        <v>54</v>
      </c>
      <c r="B183" s="34">
        <v>921</v>
      </c>
      <c r="C183" s="34" t="s">
        <v>289</v>
      </c>
      <c r="D183" s="34" t="s">
        <v>254</v>
      </c>
      <c r="E183" s="34" t="s">
        <v>115</v>
      </c>
      <c r="F183" s="673">
        <f>SUM(F184:F185)</f>
        <v>43.9</v>
      </c>
      <c r="G183" s="79"/>
      <c r="H183" s="532">
        <f>F183*G183</f>
        <v>0</v>
      </c>
      <c r="I183" s="533" t="s">
        <v>739</v>
      </c>
      <c r="J183" s="948"/>
      <c r="K183" s="505"/>
      <c r="L183" s="505"/>
      <c r="M183" s="505"/>
      <c r="N183" s="505"/>
      <c r="O183" s="505"/>
      <c r="P183" s="949"/>
      <c r="Q183" s="505"/>
      <c r="R183" s="685"/>
      <c r="S183" s="505"/>
      <c r="T183" s="505"/>
      <c r="U183" s="948"/>
      <c r="V183" s="950"/>
      <c r="W183" s="951"/>
      <c r="X183" s="951"/>
      <c r="Y183" s="951"/>
      <c r="Z183" s="951"/>
      <c r="AA183" s="949"/>
      <c r="AB183" s="951"/>
      <c r="AC183" s="509"/>
      <c r="AD183" s="509"/>
      <c r="AE183" s="509"/>
      <c r="AF183" s="509"/>
      <c r="AG183" s="509"/>
      <c r="AH183" s="509"/>
      <c r="AI183" s="509"/>
      <c r="AJ183" s="509"/>
      <c r="AK183" s="509"/>
      <c r="AL183" s="509"/>
      <c r="AM183" s="509"/>
      <c r="AN183" s="509"/>
      <c r="AO183" s="509"/>
      <c r="AP183" s="509"/>
      <c r="AQ183" s="509"/>
      <c r="AR183" s="509"/>
      <c r="AS183" s="509"/>
      <c r="AT183" s="509"/>
      <c r="AU183" s="509"/>
      <c r="AV183" s="509"/>
      <c r="AW183" s="509"/>
      <c r="AX183" s="509"/>
      <c r="AY183" s="505"/>
      <c r="AZ183" s="505"/>
      <c r="BA183" s="505"/>
      <c r="BB183" s="505"/>
      <c r="BC183" s="505"/>
      <c r="BD183" s="505"/>
    </row>
    <row r="184" spans="1:256" s="506" customFormat="1" ht="13.5" customHeight="1">
      <c r="A184" s="530"/>
      <c r="B184" s="34"/>
      <c r="C184" s="674"/>
      <c r="D184" s="36" t="s">
        <v>506</v>
      </c>
      <c r="E184" s="674"/>
      <c r="F184" s="675">
        <f>(25.2+2.2)</f>
        <v>27.4</v>
      </c>
      <c r="G184" s="676"/>
      <c r="H184" s="676"/>
      <c r="I184" s="533"/>
      <c r="J184" s="952"/>
      <c r="K184" s="505"/>
      <c r="L184" s="685"/>
      <c r="M184" s="505"/>
      <c r="N184" s="505"/>
      <c r="O184" s="505"/>
      <c r="P184" s="505"/>
      <c r="Q184" s="505"/>
      <c r="R184" s="505"/>
      <c r="S184" s="505"/>
      <c r="T184" s="505"/>
      <c r="U184" s="505"/>
      <c r="V184" s="505"/>
      <c r="W184" s="505"/>
      <c r="X184" s="505"/>
      <c r="Y184" s="505"/>
      <c r="Z184" s="509"/>
      <c r="AA184" s="509"/>
      <c r="AB184" s="509"/>
      <c r="AC184" s="509"/>
      <c r="AD184" s="509"/>
      <c r="AE184" s="509"/>
      <c r="AF184" s="509"/>
      <c r="AG184" s="509"/>
      <c r="AH184" s="509"/>
      <c r="AI184" s="509"/>
      <c r="AJ184" s="509"/>
      <c r="AK184" s="509"/>
      <c r="AL184" s="509"/>
      <c r="AM184" s="509"/>
      <c r="AN184" s="509"/>
      <c r="AO184" s="509"/>
      <c r="AP184" s="509"/>
      <c r="AQ184" s="509"/>
      <c r="AR184" s="509"/>
      <c r="AS184" s="509"/>
      <c r="AT184" s="509"/>
      <c r="AU184" s="509"/>
      <c r="AV184" s="509"/>
      <c r="AW184" s="509"/>
      <c r="AX184" s="509"/>
      <c r="AY184" s="505"/>
      <c r="AZ184" s="505"/>
      <c r="BA184" s="505"/>
      <c r="BB184" s="505"/>
      <c r="BC184" s="505"/>
      <c r="BD184" s="505"/>
    </row>
    <row r="185" spans="1:256" s="506" customFormat="1" ht="13.5" customHeight="1">
      <c r="A185" s="530"/>
      <c r="B185" s="34"/>
      <c r="C185" s="674"/>
      <c r="D185" s="36" t="s">
        <v>507</v>
      </c>
      <c r="E185" s="674"/>
      <c r="F185" s="675">
        <f>(6.8)+(9.7)</f>
        <v>16.5</v>
      </c>
      <c r="G185" s="676"/>
      <c r="H185" s="676"/>
      <c r="I185" s="533"/>
      <c r="J185" s="857"/>
      <c r="K185" s="857"/>
      <c r="L185" s="857"/>
      <c r="M185" s="857"/>
      <c r="N185" s="857"/>
      <c r="O185" s="857"/>
      <c r="P185" s="857"/>
      <c r="Q185" s="857"/>
      <c r="R185" s="513"/>
      <c r="S185" s="513"/>
      <c r="T185" s="513"/>
      <c r="U185" s="513"/>
      <c r="V185" s="513"/>
      <c r="W185" s="513"/>
      <c r="X185" s="513"/>
      <c r="Y185" s="513"/>
      <c r="Z185" s="509"/>
      <c r="AA185" s="509"/>
      <c r="AB185" s="509"/>
      <c r="AC185" s="509"/>
      <c r="AD185" s="509"/>
      <c r="AE185" s="509"/>
      <c r="AF185" s="509"/>
      <c r="AG185" s="509"/>
      <c r="AH185" s="509"/>
      <c r="AI185" s="509"/>
      <c r="AJ185" s="509"/>
      <c r="AK185" s="509"/>
      <c r="AL185" s="509"/>
      <c r="AM185" s="509"/>
      <c r="AN185" s="509"/>
      <c r="AO185" s="509"/>
      <c r="AP185" s="509"/>
      <c r="AQ185" s="509"/>
      <c r="AR185" s="509"/>
      <c r="AS185" s="509"/>
      <c r="AT185" s="509"/>
      <c r="AU185" s="509"/>
      <c r="AV185" s="509"/>
      <c r="AW185" s="509"/>
      <c r="AX185" s="509"/>
      <c r="AY185" s="505"/>
      <c r="AZ185" s="505"/>
      <c r="BA185" s="505"/>
      <c r="BB185" s="505"/>
      <c r="BC185" s="505"/>
      <c r="BD185" s="505"/>
    </row>
    <row r="186" spans="1:256" s="506" customFormat="1" ht="67.5" customHeight="1">
      <c r="A186" s="679"/>
      <c r="B186" s="680"/>
      <c r="C186" s="863"/>
      <c r="D186" s="388" t="s">
        <v>195</v>
      </c>
      <c r="E186" s="46"/>
      <c r="F186" s="682"/>
      <c r="G186" s="683"/>
      <c r="H186" s="84"/>
      <c r="I186" s="533"/>
      <c r="J186" s="505"/>
      <c r="K186" s="661"/>
      <c r="L186" s="505"/>
      <c r="M186" s="505"/>
      <c r="N186" s="505"/>
      <c r="O186" s="505"/>
      <c r="P186" s="505"/>
      <c r="Q186" s="505"/>
      <c r="R186" s="505"/>
      <c r="S186" s="505"/>
      <c r="T186" s="505"/>
      <c r="U186" s="505"/>
      <c r="V186" s="685"/>
      <c r="W186" s="505"/>
      <c r="X186" s="505"/>
      <c r="Y186" s="661"/>
      <c r="Z186" s="661"/>
      <c r="AA186" s="661"/>
      <c r="AB186" s="661"/>
      <c r="AC186" s="661"/>
      <c r="AD186" s="661"/>
      <c r="AE186" s="661"/>
      <c r="AF186" s="661"/>
      <c r="AG186" s="505"/>
      <c r="AH186" s="505"/>
      <c r="AI186" s="505"/>
      <c r="AJ186" s="949"/>
      <c r="AK186" s="505"/>
      <c r="AL186" s="509"/>
      <c r="AM186" s="509"/>
      <c r="AN186" s="509"/>
      <c r="AO186" s="509"/>
      <c r="AP186" s="509"/>
      <c r="AQ186" s="509"/>
      <c r="AR186" s="509"/>
      <c r="AS186" s="509"/>
      <c r="AT186" s="509"/>
      <c r="AU186" s="509"/>
      <c r="AV186" s="509"/>
      <c r="AW186" s="509"/>
      <c r="AX186" s="509"/>
      <c r="AY186" s="513"/>
      <c r="AZ186" s="513"/>
      <c r="BA186" s="513"/>
      <c r="BB186" s="513"/>
      <c r="BC186" s="513"/>
      <c r="BD186" s="513"/>
      <c r="BE186" s="77"/>
      <c r="BF186" s="77"/>
      <c r="BG186" s="77"/>
      <c r="BH186" s="77"/>
      <c r="BI186" s="77"/>
      <c r="BJ186" s="77"/>
      <c r="BK186" s="77"/>
      <c r="BL186" s="77"/>
      <c r="BM186" s="77"/>
      <c r="BN186" s="77"/>
      <c r="BO186" s="77"/>
      <c r="BP186" s="77"/>
      <c r="BQ186" s="77"/>
      <c r="BR186" s="77"/>
      <c r="BS186" s="77"/>
      <c r="BT186" s="77"/>
      <c r="BU186" s="77"/>
      <c r="BV186" s="77"/>
      <c r="BW186" s="77"/>
      <c r="BX186" s="77"/>
      <c r="BY186" s="77"/>
      <c r="BZ186" s="77"/>
      <c r="CA186" s="77"/>
      <c r="CB186" s="77"/>
      <c r="CC186" s="77"/>
      <c r="CD186" s="77"/>
      <c r="CE186" s="77"/>
      <c r="CF186" s="77"/>
      <c r="CG186" s="77"/>
      <c r="CH186" s="77"/>
      <c r="CI186" s="77"/>
      <c r="CJ186" s="77"/>
      <c r="CK186" s="77"/>
      <c r="CL186" s="77"/>
      <c r="CM186" s="77"/>
      <c r="CN186" s="77"/>
      <c r="CO186" s="77"/>
      <c r="CP186" s="77"/>
      <c r="CQ186" s="77"/>
      <c r="CR186" s="77"/>
      <c r="CS186" s="77"/>
      <c r="CT186" s="77"/>
      <c r="CU186" s="77"/>
      <c r="CV186" s="77"/>
      <c r="CW186" s="77"/>
      <c r="CX186" s="77"/>
      <c r="CY186" s="77"/>
      <c r="CZ186" s="77"/>
      <c r="DA186" s="77"/>
      <c r="DB186" s="77"/>
      <c r="DC186" s="77"/>
      <c r="DD186" s="77"/>
      <c r="DE186" s="77"/>
      <c r="DF186" s="77"/>
      <c r="DG186" s="77"/>
      <c r="DH186" s="77"/>
      <c r="DI186" s="77"/>
      <c r="DJ186" s="77"/>
      <c r="DK186" s="77"/>
      <c r="DL186" s="77"/>
      <c r="DM186" s="77"/>
      <c r="DN186" s="77"/>
      <c r="DO186" s="77"/>
      <c r="DP186" s="77"/>
      <c r="DQ186" s="77"/>
      <c r="DR186" s="77"/>
      <c r="DS186" s="77"/>
      <c r="DT186" s="77"/>
      <c r="DU186" s="77"/>
      <c r="DV186" s="77"/>
      <c r="DW186" s="77"/>
      <c r="DX186" s="77"/>
      <c r="DY186" s="77"/>
      <c r="DZ186" s="77"/>
      <c r="EA186" s="77"/>
      <c r="EB186" s="77"/>
      <c r="EC186" s="77"/>
      <c r="ED186" s="77"/>
      <c r="EE186" s="77"/>
      <c r="EF186" s="77"/>
      <c r="EG186" s="77"/>
      <c r="EH186" s="77"/>
      <c r="EI186" s="77"/>
      <c r="EJ186" s="77"/>
      <c r="EK186" s="77"/>
      <c r="EL186" s="77"/>
      <c r="EM186" s="77"/>
      <c r="EN186" s="77"/>
      <c r="EO186" s="77"/>
      <c r="EP186" s="77"/>
      <c r="EQ186" s="77"/>
      <c r="ER186" s="77"/>
      <c r="ES186" s="77"/>
      <c r="ET186" s="77"/>
      <c r="EU186" s="77"/>
      <c r="EV186" s="77"/>
      <c r="EW186" s="77"/>
      <c r="EX186" s="77"/>
      <c r="EY186" s="77"/>
      <c r="EZ186" s="77"/>
      <c r="FA186" s="77"/>
      <c r="FB186" s="77"/>
      <c r="FC186" s="77"/>
      <c r="FD186" s="77"/>
      <c r="FE186" s="77"/>
      <c r="FF186" s="77"/>
      <c r="FG186" s="77"/>
      <c r="FH186" s="77"/>
      <c r="FI186" s="77"/>
      <c r="FJ186" s="77"/>
      <c r="FK186" s="77"/>
      <c r="FL186" s="77"/>
      <c r="FM186" s="77"/>
      <c r="FN186" s="77"/>
      <c r="FO186" s="77"/>
      <c r="FP186" s="77"/>
      <c r="FQ186" s="77"/>
      <c r="FR186" s="77"/>
      <c r="FS186" s="77"/>
      <c r="FT186" s="77"/>
      <c r="FU186" s="77"/>
      <c r="FV186" s="77"/>
      <c r="FW186" s="77"/>
      <c r="FX186" s="77"/>
      <c r="FY186" s="77"/>
      <c r="FZ186" s="77"/>
      <c r="GA186" s="77"/>
      <c r="GB186" s="77"/>
      <c r="GC186" s="77"/>
      <c r="GD186" s="77"/>
      <c r="GE186" s="77"/>
      <c r="GF186" s="77"/>
      <c r="GG186" s="77"/>
      <c r="GH186" s="77"/>
      <c r="GI186" s="77"/>
      <c r="GJ186" s="77"/>
      <c r="GK186" s="77"/>
      <c r="GL186" s="77"/>
      <c r="GM186" s="77"/>
      <c r="GN186" s="77"/>
      <c r="GO186" s="77"/>
      <c r="GP186" s="77"/>
      <c r="GQ186" s="77"/>
      <c r="GR186" s="77"/>
      <c r="GS186" s="77"/>
      <c r="GT186" s="77"/>
      <c r="GU186" s="77"/>
      <c r="GV186" s="77"/>
      <c r="GW186" s="77"/>
      <c r="GX186" s="77"/>
      <c r="GY186" s="77"/>
      <c r="GZ186" s="77"/>
      <c r="HA186" s="77"/>
      <c r="HB186" s="77"/>
      <c r="HC186" s="77"/>
      <c r="HD186" s="77"/>
      <c r="HE186" s="77"/>
      <c r="HF186" s="77"/>
      <c r="HG186" s="77"/>
      <c r="HH186" s="77"/>
      <c r="HI186" s="77"/>
      <c r="HJ186" s="77"/>
      <c r="HK186" s="77"/>
      <c r="HL186" s="77"/>
      <c r="HM186" s="77"/>
      <c r="HN186" s="77"/>
      <c r="HO186" s="77"/>
      <c r="HP186" s="77"/>
      <c r="HQ186" s="77"/>
      <c r="HR186" s="77"/>
      <c r="HS186" s="77"/>
      <c r="HT186" s="77"/>
      <c r="HU186" s="77"/>
      <c r="HV186" s="77"/>
      <c r="HW186" s="77"/>
      <c r="HX186" s="77"/>
      <c r="HY186" s="77"/>
      <c r="HZ186" s="77"/>
      <c r="IA186" s="77"/>
      <c r="IB186" s="77"/>
      <c r="IC186" s="77"/>
      <c r="ID186" s="77"/>
      <c r="IE186" s="77"/>
      <c r="IF186" s="77"/>
      <c r="IG186" s="77"/>
      <c r="IH186" s="77"/>
      <c r="II186" s="77"/>
      <c r="IJ186" s="77"/>
      <c r="IK186" s="77"/>
      <c r="IL186" s="77"/>
      <c r="IM186" s="77"/>
      <c r="IN186" s="77"/>
      <c r="IO186" s="77"/>
      <c r="IP186" s="77"/>
      <c r="IQ186" s="77"/>
      <c r="IR186" s="77"/>
      <c r="IS186" s="77"/>
      <c r="IT186" s="77"/>
      <c r="IU186" s="77"/>
      <c r="IV186" s="77"/>
    </row>
    <row r="187" spans="1:256" s="506" customFormat="1" ht="27" customHeight="1">
      <c r="A187" s="530">
        <v>55</v>
      </c>
      <c r="B187" s="34">
        <v>921</v>
      </c>
      <c r="C187" s="34" t="s">
        <v>247</v>
      </c>
      <c r="D187" s="34" t="s">
        <v>262</v>
      </c>
      <c r="E187" s="34" t="s">
        <v>115</v>
      </c>
      <c r="F187" s="673">
        <f>SUM(F188:F189)</f>
        <v>43.9</v>
      </c>
      <c r="G187" s="79"/>
      <c r="H187" s="532">
        <f>F187*G187</f>
        <v>0</v>
      </c>
      <c r="I187" s="533" t="s">
        <v>739</v>
      </c>
      <c r="J187" s="505"/>
      <c r="K187" s="661"/>
      <c r="L187" s="505"/>
      <c r="M187" s="505"/>
      <c r="N187" s="505"/>
      <c r="O187" s="505"/>
      <c r="P187" s="505"/>
      <c r="Q187" s="505"/>
      <c r="R187" s="505"/>
      <c r="S187" s="505"/>
      <c r="T187" s="505"/>
      <c r="U187" s="505"/>
      <c r="V187" s="685"/>
      <c r="W187" s="505"/>
      <c r="X187" s="505"/>
      <c r="Y187" s="661"/>
      <c r="Z187" s="661"/>
      <c r="AA187" s="661"/>
      <c r="AB187" s="661"/>
      <c r="AC187" s="661"/>
      <c r="AD187" s="661"/>
      <c r="AE187" s="661"/>
      <c r="AF187" s="661"/>
      <c r="AG187" s="505"/>
      <c r="AH187" s="505"/>
      <c r="AI187" s="505"/>
      <c r="AJ187" s="949"/>
      <c r="AK187" s="505"/>
      <c r="AL187" s="509"/>
      <c r="AM187" s="509"/>
      <c r="AN187" s="509"/>
      <c r="AO187" s="509"/>
      <c r="AP187" s="509"/>
      <c r="AQ187" s="509"/>
      <c r="AR187" s="509"/>
      <c r="AS187" s="509"/>
      <c r="AT187" s="509"/>
      <c r="AU187" s="509"/>
      <c r="AV187" s="509"/>
      <c r="AW187" s="509"/>
      <c r="AX187" s="509"/>
      <c r="AY187" s="505"/>
      <c r="AZ187" s="505"/>
      <c r="BA187" s="505"/>
      <c r="BB187" s="505"/>
      <c r="BC187" s="505"/>
      <c r="BD187" s="505"/>
    </row>
    <row r="188" spans="1:256" s="506" customFormat="1" ht="27" customHeight="1">
      <c r="A188" s="530"/>
      <c r="B188" s="34"/>
      <c r="C188" s="674"/>
      <c r="D188" s="36" t="s">
        <v>508</v>
      </c>
      <c r="E188" s="674"/>
      <c r="F188" s="675">
        <f>(25.2+2.2)</f>
        <v>27.4</v>
      </c>
      <c r="G188" s="676"/>
      <c r="H188" s="676"/>
      <c r="I188" s="533"/>
      <c r="J188" s="952"/>
      <c r="K188" s="505"/>
      <c r="L188" s="685"/>
      <c r="M188" s="505"/>
      <c r="N188" s="505"/>
      <c r="O188" s="505"/>
      <c r="P188" s="505"/>
      <c r="Q188" s="505"/>
      <c r="R188" s="505"/>
      <c r="S188" s="505"/>
      <c r="T188" s="505"/>
      <c r="U188" s="505"/>
      <c r="V188" s="505"/>
      <c r="W188" s="505"/>
      <c r="X188" s="505"/>
      <c r="Y188" s="505"/>
      <c r="Z188" s="509"/>
      <c r="AA188" s="509"/>
      <c r="AB188" s="509"/>
      <c r="AC188" s="509"/>
      <c r="AD188" s="509"/>
      <c r="AE188" s="509"/>
      <c r="AF188" s="509"/>
      <c r="AG188" s="509"/>
      <c r="AH188" s="509"/>
      <c r="AI188" s="509"/>
      <c r="AJ188" s="509"/>
      <c r="AK188" s="509"/>
      <c r="AL188" s="509"/>
      <c r="AM188" s="509"/>
      <c r="AN188" s="509"/>
      <c r="AO188" s="509"/>
      <c r="AP188" s="509"/>
      <c r="AQ188" s="509"/>
      <c r="AR188" s="509"/>
      <c r="AS188" s="509"/>
      <c r="AT188" s="509"/>
      <c r="AU188" s="509"/>
      <c r="AV188" s="509"/>
      <c r="AW188" s="509"/>
      <c r="AX188" s="509"/>
      <c r="AY188" s="505"/>
      <c r="AZ188" s="505"/>
      <c r="BA188" s="505"/>
      <c r="BB188" s="505"/>
      <c r="BC188" s="505"/>
      <c r="BD188" s="505"/>
    </row>
    <row r="189" spans="1:256" s="506" customFormat="1" ht="13.5" customHeight="1">
      <c r="A189" s="530"/>
      <c r="B189" s="34"/>
      <c r="C189" s="674"/>
      <c r="D189" s="36" t="s">
        <v>509</v>
      </c>
      <c r="E189" s="674"/>
      <c r="F189" s="675">
        <f>(6.8)+(9.7)</f>
        <v>16.5</v>
      </c>
      <c r="G189" s="676"/>
      <c r="H189" s="676"/>
      <c r="I189" s="533"/>
      <c r="J189" s="857"/>
      <c r="K189" s="857"/>
      <c r="L189" s="857"/>
      <c r="M189" s="857"/>
      <c r="N189" s="857"/>
      <c r="O189" s="857"/>
      <c r="P189" s="857"/>
      <c r="Q189" s="857"/>
      <c r="R189" s="513"/>
      <c r="S189" s="513"/>
      <c r="T189" s="513"/>
      <c r="U189" s="513"/>
      <c r="V189" s="513"/>
      <c r="W189" s="513"/>
      <c r="X189" s="513"/>
      <c r="Y189" s="513"/>
      <c r="Z189" s="509"/>
      <c r="AA189" s="509"/>
      <c r="AB189" s="509"/>
      <c r="AC189" s="509"/>
      <c r="AD189" s="509"/>
      <c r="AE189" s="509"/>
      <c r="AF189" s="509"/>
      <c r="AG189" s="509"/>
      <c r="AH189" s="509"/>
      <c r="AI189" s="509"/>
      <c r="AJ189" s="509"/>
      <c r="AK189" s="509"/>
      <c r="AL189" s="509"/>
      <c r="AM189" s="509"/>
      <c r="AN189" s="509"/>
      <c r="AO189" s="509"/>
      <c r="AP189" s="509"/>
      <c r="AQ189" s="509"/>
      <c r="AR189" s="509"/>
      <c r="AS189" s="509"/>
      <c r="AT189" s="509"/>
      <c r="AU189" s="509"/>
      <c r="AV189" s="509"/>
      <c r="AW189" s="509"/>
      <c r="AX189" s="509"/>
      <c r="AY189" s="505"/>
      <c r="AZ189" s="505"/>
      <c r="BA189" s="505"/>
      <c r="BB189" s="505"/>
      <c r="BC189" s="505"/>
      <c r="BD189" s="505"/>
    </row>
    <row r="190" spans="1:256" s="506" customFormat="1" ht="67.5" customHeight="1">
      <c r="A190" s="679"/>
      <c r="B190" s="680"/>
      <c r="C190" s="863"/>
      <c r="D190" s="388" t="s">
        <v>195</v>
      </c>
      <c r="E190" s="46"/>
      <c r="F190" s="682"/>
      <c r="G190" s="683"/>
      <c r="H190" s="84"/>
      <c r="I190" s="533"/>
      <c r="J190" s="952"/>
      <c r="K190" s="505"/>
      <c r="L190" s="505"/>
      <c r="M190" s="505"/>
      <c r="N190" s="505"/>
      <c r="O190" s="505"/>
      <c r="P190" s="505"/>
      <c r="Q190" s="505"/>
      <c r="R190" s="505"/>
      <c r="S190" s="505"/>
      <c r="T190" s="949"/>
      <c r="U190" s="505"/>
      <c r="V190" s="505"/>
      <c r="W190" s="505"/>
      <c r="X190" s="505"/>
      <c r="Y190" s="505"/>
      <c r="Z190" s="452"/>
      <c r="AA190" s="452"/>
      <c r="AB190" s="452"/>
      <c r="AC190" s="452"/>
      <c r="AD190" s="452"/>
      <c r="AE190" s="452"/>
      <c r="AF190" s="452"/>
      <c r="AG190" s="452"/>
      <c r="AH190" s="452"/>
      <c r="AI190" s="452"/>
      <c r="AJ190" s="452"/>
      <c r="AK190" s="452"/>
      <c r="AL190" s="509"/>
      <c r="AM190" s="509"/>
      <c r="AN190" s="509"/>
      <c r="AO190" s="509"/>
      <c r="AP190" s="509"/>
      <c r="AQ190" s="509"/>
      <c r="AR190" s="509"/>
      <c r="AS190" s="509"/>
      <c r="AT190" s="509"/>
      <c r="AU190" s="509"/>
      <c r="AV190" s="509"/>
      <c r="AW190" s="509"/>
      <c r="AX190" s="509"/>
      <c r="AY190" s="513"/>
      <c r="AZ190" s="513"/>
      <c r="BA190" s="513"/>
      <c r="BB190" s="513"/>
      <c r="BC190" s="513"/>
      <c r="BD190" s="513"/>
      <c r="BE190" s="77"/>
      <c r="BF190" s="77"/>
      <c r="BG190" s="77"/>
      <c r="BH190" s="77"/>
      <c r="BI190" s="77"/>
      <c r="BJ190" s="77"/>
      <c r="BK190" s="77"/>
      <c r="BL190" s="77"/>
      <c r="BM190" s="77"/>
      <c r="BN190" s="77"/>
      <c r="BO190" s="77"/>
      <c r="BP190" s="77"/>
      <c r="BQ190" s="77"/>
      <c r="BR190" s="77"/>
      <c r="BS190" s="77"/>
      <c r="BT190" s="77"/>
      <c r="BU190" s="77"/>
      <c r="BV190" s="77"/>
      <c r="BW190" s="77"/>
      <c r="BX190" s="77"/>
      <c r="BY190" s="77"/>
      <c r="BZ190" s="77"/>
      <c r="CA190" s="77"/>
      <c r="CB190" s="77"/>
      <c r="CC190" s="77"/>
      <c r="CD190" s="77"/>
      <c r="CE190" s="77"/>
      <c r="CF190" s="77"/>
      <c r="CG190" s="77"/>
      <c r="CH190" s="77"/>
      <c r="CI190" s="77"/>
      <c r="CJ190" s="77"/>
      <c r="CK190" s="77"/>
      <c r="CL190" s="77"/>
      <c r="CM190" s="77"/>
      <c r="CN190" s="77"/>
      <c r="CO190" s="77"/>
      <c r="CP190" s="77"/>
      <c r="CQ190" s="77"/>
      <c r="CR190" s="77"/>
      <c r="CS190" s="77"/>
      <c r="CT190" s="77"/>
      <c r="CU190" s="77"/>
      <c r="CV190" s="77"/>
      <c r="CW190" s="77"/>
      <c r="CX190" s="77"/>
      <c r="CY190" s="77"/>
      <c r="CZ190" s="77"/>
      <c r="DA190" s="77"/>
      <c r="DB190" s="77"/>
      <c r="DC190" s="77"/>
      <c r="DD190" s="77"/>
      <c r="DE190" s="77"/>
      <c r="DF190" s="77"/>
      <c r="DG190" s="77"/>
      <c r="DH190" s="77"/>
      <c r="DI190" s="77"/>
      <c r="DJ190" s="77"/>
      <c r="DK190" s="77"/>
      <c r="DL190" s="77"/>
      <c r="DM190" s="77"/>
      <c r="DN190" s="77"/>
      <c r="DO190" s="77"/>
      <c r="DP190" s="77"/>
      <c r="DQ190" s="77"/>
      <c r="DR190" s="77"/>
      <c r="DS190" s="77"/>
      <c r="DT190" s="77"/>
      <c r="DU190" s="77"/>
      <c r="DV190" s="77"/>
      <c r="DW190" s="77"/>
      <c r="DX190" s="77"/>
      <c r="DY190" s="77"/>
      <c r="DZ190" s="77"/>
      <c r="EA190" s="77"/>
      <c r="EB190" s="77"/>
      <c r="EC190" s="77"/>
      <c r="ED190" s="77"/>
      <c r="EE190" s="77"/>
      <c r="EF190" s="77"/>
      <c r="EG190" s="77"/>
      <c r="EH190" s="77"/>
      <c r="EI190" s="77"/>
      <c r="EJ190" s="77"/>
      <c r="EK190" s="77"/>
      <c r="EL190" s="77"/>
      <c r="EM190" s="77"/>
      <c r="EN190" s="77"/>
      <c r="EO190" s="77"/>
      <c r="EP190" s="77"/>
      <c r="EQ190" s="77"/>
      <c r="ER190" s="77"/>
      <c r="ES190" s="77"/>
      <c r="ET190" s="77"/>
      <c r="EU190" s="77"/>
      <c r="EV190" s="77"/>
      <c r="EW190" s="77"/>
      <c r="EX190" s="77"/>
      <c r="EY190" s="77"/>
      <c r="EZ190" s="77"/>
      <c r="FA190" s="77"/>
      <c r="FB190" s="77"/>
      <c r="FC190" s="77"/>
      <c r="FD190" s="77"/>
      <c r="FE190" s="77"/>
      <c r="FF190" s="77"/>
      <c r="FG190" s="77"/>
      <c r="FH190" s="77"/>
      <c r="FI190" s="77"/>
      <c r="FJ190" s="77"/>
      <c r="FK190" s="77"/>
      <c r="FL190" s="77"/>
      <c r="FM190" s="77"/>
      <c r="FN190" s="77"/>
      <c r="FO190" s="77"/>
      <c r="FP190" s="77"/>
      <c r="FQ190" s="77"/>
      <c r="FR190" s="77"/>
      <c r="FS190" s="77"/>
      <c r="FT190" s="77"/>
      <c r="FU190" s="77"/>
      <c r="FV190" s="77"/>
      <c r="FW190" s="77"/>
      <c r="FX190" s="77"/>
      <c r="FY190" s="77"/>
      <c r="FZ190" s="77"/>
      <c r="GA190" s="77"/>
      <c r="GB190" s="77"/>
      <c r="GC190" s="77"/>
      <c r="GD190" s="77"/>
      <c r="GE190" s="77"/>
      <c r="GF190" s="77"/>
      <c r="GG190" s="77"/>
      <c r="GH190" s="77"/>
      <c r="GI190" s="77"/>
      <c r="GJ190" s="77"/>
      <c r="GK190" s="77"/>
      <c r="GL190" s="77"/>
      <c r="GM190" s="77"/>
      <c r="GN190" s="77"/>
      <c r="GO190" s="77"/>
      <c r="GP190" s="77"/>
      <c r="GQ190" s="77"/>
      <c r="GR190" s="77"/>
      <c r="GS190" s="77"/>
      <c r="GT190" s="77"/>
      <c r="GU190" s="77"/>
      <c r="GV190" s="77"/>
      <c r="GW190" s="77"/>
      <c r="GX190" s="77"/>
      <c r="GY190" s="77"/>
      <c r="GZ190" s="77"/>
      <c r="HA190" s="77"/>
      <c r="HB190" s="77"/>
      <c r="HC190" s="77"/>
      <c r="HD190" s="77"/>
      <c r="HE190" s="77"/>
      <c r="HF190" s="77"/>
      <c r="HG190" s="77"/>
      <c r="HH190" s="77"/>
      <c r="HI190" s="77"/>
      <c r="HJ190" s="77"/>
      <c r="HK190" s="77"/>
      <c r="HL190" s="77"/>
      <c r="HM190" s="77"/>
      <c r="HN190" s="77"/>
      <c r="HO190" s="77"/>
      <c r="HP190" s="77"/>
      <c r="HQ190" s="77"/>
      <c r="HR190" s="77"/>
      <c r="HS190" s="77"/>
      <c r="HT190" s="77"/>
      <c r="HU190" s="77"/>
      <c r="HV190" s="77"/>
      <c r="HW190" s="77"/>
      <c r="HX190" s="77"/>
      <c r="HY190" s="77"/>
      <c r="HZ190" s="77"/>
      <c r="IA190" s="77"/>
      <c r="IB190" s="77"/>
      <c r="IC190" s="77"/>
      <c r="ID190" s="77"/>
      <c r="IE190" s="77"/>
      <c r="IF190" s="77"/>
      <c r="IG190" s="77"/>
      <c r="IH190" s="77"/>
      <c r="II190" s="77"/>
      <c r="IJ190" s="77"/>
      <c r="IK190" s="77"/>
      <c r="IL190" s="77"/>
      <c r="IM190" s="77"/>
      <c r="IN190" s="77"/>
      <c r="IO190" s="77"/>
      <c r="IP190" s="77"/>
      <c r="IQ190" s="77"/>
      <c r="IR190" s="77"/>
      <c r="IS190" s="77"/>
      <c r="IT190" s="77"/>
      <c r="IU190" s="77"/>
      <c r="IV190" s="77"/>
    </row>
    <row r="191" spans="1:256" s="506" customFormat="1" ht="27" customHeight="1">
      <c r="A191" s="530">
        <v>56</v>
      </c>
      <c r="B191" s="34">
        <v>921</v>
      </c>
      <c r="C191" s="34" t="s">
        <v>828</v>
      </c>
      <c r="D191" s="34" t="s">
        <v>585</v>
      </c>
      <c r="E191" s="34" t="s">
        <v>102</v>
      </c>
      <c r="F191" s="673">
        <f>F192</f>
        <v>1</v>
      </c>
      <c r="G191" s="79"/>
      <c r="H191" s="532">
        <f>F191*G191</f>
        <v>0</v>
      </c>
      <c r="I191" s="533" t="s">
        <v>739</v>
      </c>
      <c r="J191" s="661"/>
      <c r="K191" s="661"/>
      <c r="L191" s="661"/>
      <c r="M191" s="661"/>
      <c r="N191" s="661"/>
      <c r="O191" s="661"/>
      <c r="P191" s="661"/>
      <c r="Q191" s="661"/>
      <c r="R191" s="505"/>
      <c r="S191" s="505"/>
      <c r="T191" s="949"/>
      <c r="U191" s="505"/>
      <c r="V191" s="505"/>
      <c r="W191" s="505"/>
      <c r="X191" s="505"/>
      <c r="Y191" s="505"/>
      <c r="Z191" s="509"/>
      <c r="AA191" s="509"/>
      <c r="AB191" s="509"/>
      <c r="AC191" s="509"/>
      <c r="AD191" s="509"/>
      <c r="AE191" s="509"/>
      <c r="AF191" s="509"/>
      <c r="AG191" s="509"/>
      <c r="AH191" s="509"/>
      <c r="AI191" s="509"/>
      <c r="AJ191" s="509"/>
      <c r="AK191" s="509"/>
      <c r="AL191" s="509"/>
      <c r="AM191" s="509"/>
      <c r="AN191" s="509"/>
      <c r="AO191" s="509"/>
      <c r="AP191" s="509"/>
      <c r="AQ191" s="509"/>
      <c r="AR191" s="509"/>
      <c r="AS191" s="509"/>
      <c r="AT191" s="509"/>
      <c r="AU191" s="509"/>
      <c r="AV191" s="509"/>
      <c r="AW191" s="509"/>
      <c r="AX191" s="509"/>
      <c r="AY191" s="505"/>
      <c r="AZ191" s="505"/>
      <c r="BA191" s="505"/>
      <c r="BB191" s="505"/>
      <c r="BC191" s="505"/>
      <c r="BD191" s="505"/>
    </row>
    <row r="192" spans="1:256" s="506" customFormat="1" ht="27" customHeight="1">
      <c r="A192" s="530"/>
      <c r="B192" s="34"/>
      <c r="C192" s="674"/>
      <c r="D192" s="36" t="s">
        <v>586</v>
      </c>
      <c r="E192" s="674"/>
      <c r="F192" s="675">
        <v>1</v>
      </c>
      <c r="G192" s="676"/>
      <c r="H192" s="676"/>
      <c r="I192" s="533"/>
      <c r="J192" s="952"/>
      <c r="K192" s="505"/>
      <c r="L192" s="505"/>
      <c r="M192" s="505"/>
      <c r="N192" s="505"/>
      <c r="O192" s="505"/>
      <c r="P192" s="505"/>
      <c r="Q192" s="505"/>
      <c r="R192" s="505"/>
      <c r="S192" s="505"/>
      <c r="T192" s="949"/>
      <c r="U192" s="505"/>
      <c r="V192" s="505"/>
      <c r="W192" s="505"/>
      <c r="X192" s="505"/>
      <c r="Y192" s="505"/>
      <c r="Z192" s="452"/>
      <c r="AA192" s="452"/>
      <c r="AB192" s="452"/>
      <c r="AC192" s="452"/>
      <c r="AD192" s="452"/>
      <c r="AE192" s="452"/>
      <c r="AF192" s="452"/>
      <c r="AG192" s="452"/>
      <c r="AH192" s="452"/>
      <c r="AI192" s="452"/>
      <c r="AJ192" s="452"/>
      <c r="AK192" s="452"/>
      <c r="AL192" s="509"/>
      <c r="AM192" s="509"/>
      <c r="AN192" s="509"/>
      <c r="AO192" s="509"/>
      <c r="AP192" s="509"/>
      <c r="AQ192" s="509"/>
      <c r="AR192" s="509"/>
      <c r="AS192" s="509"/>
      <c r="AT192" s="509"/>
      <c r="AU192" s="509"/>
      <c r="AV192" s="509"/>
      <c r="AW192" s="509"/>
      <c r="AX192" s="509"/>
      <c r="AY192" s="505"/>
      <c r="AZ192" s="505"/>
      <c r="BA192" s="505"/>
      <c r="BB192" s="505"/>
      <c r="BC192" s="505"/>
      <c r="BD192" s="505"/>
    </row>
    <row r="193" spans="1:256" s="506" customFormat="1" ht="13.5" customHeight="1">
      <c r="A193" s="530"/>
      <c r="B193" s="34"/>
      <c r="C193" s="674"/>
      <c r="D193" s="36" t="s">
        <v>587</v>
      </c>
      <c r="E193" s="674"/>
      <c r="F193" s="675"/>
      <c r="G193" s="676"/>
      <c r="H193" s="676"/>
      <c r="I193" s="533"/>
      <c r="J193" s="952"/>
      <c r="K193" s="505"/>
      <c r="L193" s="505"/>
      <c r="M193" s="505"/>
      <c r="N193" s="505"/>
      <c r="O193" s="505"/>
      <c r="P193" s="505"/>
      <c r="Q193" s="505"/>
      <c r="R193" s="505"/>
      <c r="S193" s="505"/>
      <c r="T193" s="949"/>
      <c r="U193" s="505"/>
      <c r="V193" s="505"/>
      <c r="W193" s="505"/>
      <c r="X193" s="505"/>
      <c r="Y193" s="505"/>
      <c r="Z193" s="452"/>
      <c r="AA193" s="452"/>
      <c r="AB193" s="452"/>
      <c r="AC193" s="452"/>
      <c r="AD193" s="452"/>
      <c r="AE193" s="452"/>
      <c r="AF193" s="452"/>
      <c r="AG193" s="452"/>
      <c r="AH193" s="452"/>
      <c r="AI193" s="452"/>
      <c r="AJ193" s="452"/>
      <c r="AK193" s="452"/>
      <c r="AL193" s="509"/>
      <c r="AM193" s="509"/>
      <c r="AN193" s="509"/>
      <c r="AO193" s="509"/>
      <c r="AP193" s="509"/>
      <c r="AQ193" s="509"/>
      <c r="AR193" s="509"/>
      <c r="AS193" s="509"/>
      <c r="AT193" s="509"/>
      <c r="AU193" s="509"/>
      <c r="AV193" s="509"/>
      <c r="AW193" s="509"/>
      <c r="AX193" s="509"/>
      <c r="AY193" s="505"/>
      <c r="AZ193" s="505"/>
      <c r="BA193" s="505"/>
      <c r="BB193" s="505"/>
      <c r="BC193" s="505"/>
      <c r="BD193" s="505"/>
    </row>
    <row r="194" spans="1:256" s="506" customFormat="1" ht="67.5" customHeight="1">
      <c r="A194" s="679"/>
      <c r="B194" s="680"/>
      <c r="C194" s="863"/>
      <c r="D194" s="388" t="s">
        <v>195</v>
      </c>
      <c r="E194" s="46"/>
      <c r="F194" s="682"/>
      <c r="G194" s="683"/>
      <c r="H194" s="953"/>
      <c r="I194" s="954"/>
      <c r="J194" s="857"/>
      <c r="K194" s="857"/>
      <c r="L194" s="857"/>
      <c r="M194" s="685"/>
      <c r="N194" s="857"/>
      <c r="O194" s="857"/>
      <c r="P194" s="857"/>
      <c r="Q194" s="857"/>
      <c r="R194" s="513"/>
      <c r="S194" s="513"/>
      <c r="T194" s="513"/>
      <c r="U194" s="513"/>
      <c r="V194" s="513"/>
      <c r="W194" s="513"/>
      <c r="X194" s="513"/>
      <c r="Y194" s="513"/>
      <c r="Z194" s="452"/>
      <c r="AA194" s="452"/>
      <c r="AB194" s="452"/>
      <c r="AC194" s="452"/>
      <c r="AD194" s="452"/>
      <c r="AE194" s="452"/>
      <c r="AF194" s="452"/>
      <c r="AG194" s="452"/>
      <c r="AH194" s="452"/>
      <c r="AI194" s="452"/>
      <c r="AJ194" s="452"/>
      <c r="AK194" s="452"/>
      <c r="AL194" s="509"/>
      <c r="AM194" s="509"/>
      <c r="AN194" s="509"/>
      <c r="AO194" s="509"/>
      <c r="AP194" s="509"/>
      <c r="AQ194" s="509"/>
      <c r="AR194" s="509"/>
      <c r="AS194" s="509"/>
      <c r="AT194" s="509"/>
      <c r="AU194" s="509"/>
      <c r="AV194" s="509"/>
      <c r="AW194" s="509"/>
      <c r="AX194" s="509"/>
      <c r="AY194" s="513"/>
      <c r="AZ194" s="513"/>
      <c r="BA194" s="513"/>
      <c r="BB194" s="513"/>
      <c r="BC194" s="513"/>
      <c r="BD194" s="513"/>
      <c r="BE194" s="77"/>
      <c r="BF194" s="77"/>
      <c r="BG194" s="77"/>
      <c r="BH194" s="77"/>
      <c r="BI194" s="77"/>
      <c r="BJ194" s="77"/>
      <c r="BK194" s="77"/>
      <c r="BL194" s="77"/>
      <c r="BM194" s="77"/>
      <c r="BN194" s="77"/>
      <c r="BO194" s="77"/>
      <c r="BP194" s="77"/>
      <c r="BQ194" s="77"/>
      <c r="BR194" s="77"/>
      <c r="BS194" s="77"/>
      <c r="BT194" s="77"/>
      <c r="BU194" s="77"/>
      <c r="BV194" s="77"/>
      <c r="BW194" s="77"/>
      <c r="BX194" s="77"/>
      <c r="BY194" s="77"/>
      <c r="BZ194" s="77"/>
      <c r="CA194" s="77"/>
      <c r="CB194" s="77"/>
      <c r="CC194" s="77"/>
      <c r="CD194" s="77"/>
      <c r="CE194" s="77"/>
      <c r="CF194" s="77"/>
      <c r="CG194" s="77"/>
      <c r="CH194" s="77"/>
      <c r="CI194" s="77"/>
      <c r="CJ194" s="77"/>
      <c r="CK194" s="77"/>
      <c r="CL194" s="77"/>
      <c r="CM194" s="77"/>
      <c r="CN194" s="77"/>
      <c r="CO194" s="77"/>
      <c r="CP194" s="77"/>
      <c r="CQ194" s="77"/>
      <c r="CR194" s="77"/>
      <c r="CS194" s="77"/>
      <c r="CT194" s="77"/>
      <c r="CU194" s="77"/>
      <c r="CV194" s="77"/>
      <c r="CW194" s="77"/>
      <c r="CX194" s="77"/>
      <c r="CY194" s="77"/>
      <c r="CZ194" s="77"/>
      <c r="DA194" s="77"/>
      <c r="DB194" s="77"/>
      <c r="DC194" s="77"/>
      <c r="DD194" s="77"/>
      <c r="DE194" s="77"/>
      <c r="DF194" s="77"/>
      <c r="DG194" s="77"/>
      <c r="DH194" s="77"/>
      <c r="DI194" s="77"/>
      <c r="DJ194" s="77"/>
      <c r="DK194" s="77"/>
      <c r="DL194" s="77"/>
      <c r="DM194" s="77"/>
      <c r="DN194" s="77"/>
      <c r="DO194" s="77"/>
      <c r="DP194" s="77"/>
      <c r="DQ194" s="77"/>
      <c r="DR194" s="77"/>
      <c r="DS194" s="77"/>
      <c r="DT194" s="77"/>
      <c r="DU194" s="77"/>
      <c r="DV194" s="77"/>
      <c r="DW194" s="77"/>
      <c r="DX194" s="77"/>
      <c r="DY194" s="77"/>
      <c r="DZ194" s="77"/>
      <c r="EA194" s="77"/>
      <c r="EB194" s="77"/>
      <c r="EC194" s="77"/>
      <c r="ED194" s="77"/>
      <c r="EE194" s="77"/>
      <c r="EF194" s="77"/>
      <c r="EG194" s="77"/>
      <c r="EH194" s="77"/>
      <c r="EI194" s="77"/>
      <c r="EJ194" s="77"/>
      <c r="EK194" s="77"/>
      <c r="EL194" s="77"/>
      <c r="EM194" s="77"/>
      <c r="EN194" s="77"/>
      <c r="EO194" s="77"/>
      <c r="EP194" s="77"/>
      <c r="EQ194" s="77"/>
      <c r="ER194" s="77"/>
      <c r="ES194" s="77"/>
      <c r="ET194" s="77"/>
      <c r="EU194" s="77"/>
      <c r="EV194" s="77"/>
      <c r="EW194" s="77"/>
      <c r="EX194" s="77"/>
      <c r="EY194" s="77"/>
      <c r="EZ194" s="77"/>
      <c r="FA194" s="77"/>
      <c r="FB194" s="77"/>
      <c r="FC194" s="77"/>
      <c r="FD194" s="77"/>
      <c r="FE194" s="77"/>
      <c r="FF194" s="77"/>
      <c r="FG194" s="77"/>
      <c r="FH194" s="77"/>
      <c r="FI194" s="77"/>
      <c r="FJ194" s="77"/>
      <c r="FK194" s="77"/>
      <c r="FL194" s="77"/>
      <c r="FM194" s="77"/>
      <c r="FN194" s="77"/>
      <c r="FO194" s="77"/>
      <c r="FP194" s="77"/>
      <c r="FQ194" s="77"/>
      <c r="FR194" s="77"/>
      <c r="FS194" s="77"/>
      <c r="FT194" s="77"/>
      <c r="FU194" s="77"/>
      <c r="FV194" s="77"/>
      <c r="FW194" s="77"/>
      <c r="FX194" s="77"/>
      <c r="FY194" s="77"/>
      <c r="FZ194" s="77"/>
      <c r="GA194" s="77"/>
      <c r="GB194" s="77"/>
      <c r="GC194" s="77"/>
      <c r="GD194" s="77"/>
      <c r="GE194" s="77"/>
      <c r="GF194" s="77"/>
      <c r="GG194" s="77"/>
      <c r="GH194" s="77"/>
      <c r="GI194" s="77"/>
      <c r="GJ194" s="77"/>
      <c r="GK194" s="77"/>
      <c r="GL194" s="77"/>
      <c r="GM194" s="77"/>
      <c r="GN194" s="77"/>
      <c r="GO194" s="77"/>
      <c r="GP194" s="77"/>
      <c r="GQ194" s="77"/>
      <c r="GR194" s="77"/>
      <c r="GS194" s="77"/>
      <c r="GT194" s="77"/>
      <c r="GU194" s="77"/>
      <c r="GV194" s="77"/>
      <c r="GW194" s="77"/>
      <c r="GX194" s="77"/>
      <c r="GY194" s="77"/>
      <c r="GZ194" s="77"/>
      <c r="HA194" s="77"/>
      <c r="HB194" s="77"/>
      <c r="HC194" s="77"/>
      <c r="HD194" s="77"/>
      <c r="HE194" s="77"/>
      <c r="HF194" s="77"/>
      <c r="HG194" s="77"/>
      <c r="HH194" s="77"/>
      <c r="HI194" s="77"/>
      <c r="HJ194" s="77"/>
      <c r="HK194" s="77"/>
      <c r="HL194" s="77"/>
      <c r="HM194" s="77"/>
      <c r="HN194" s="77"/>
      <c r="HO194" s="77"/>
      <c r="HP194" s="77"/>
      <c r="HQ194" s="77"/>
      <c r="HR194" s="77"/>
      <c r="HS194" s="77"/>
      <c r="HT194" s="77"/>
      <c r="HU194" s="77"/>
      <c r="HV194" s="77"/>
      <c r="HW194" s="77"/>
      <c r="HX194" s="77"/>
      <c r="HY194" s="77"/>
      <c r="HZ194" s="77"/>
      <c r="IA194" s="77"/>
      <c r="IB194" s="77"/>
      <c r="IC194" s="77"/>
      <c r="ID194" s="77"/>
      <c r="IE194" s="77"/>
      <c r="IF194" s="77"/>
      <c r="IG194" s="77"/>
      <c r="IH194" s="77"/>
      <c r="II194" s="77"/>
      <c r="IJ194" s="77"/>
      <c r="IK194" s="77"/>
      <c r="IL194" s="77"/>
      <c r="IM194" s="77"/>
      <c r="IN194" s="77"/>
      <c r="IO194" s="77"/>
      <c r="IP194" s="77"/>
      <c r="IQ194" s="77"/>
      <c r="IR194" s="77"/>
      <c r="IS194" s="77"/>
      <c r="IT194" s="77"/>
      <c r="IU194" s="77"/>
      <c r="IV194" s="77"/>
    </row>
    <row r="195" spans="1:256" s="506" customFormat="1" ht="13.5" customHeight="1">
      <c r="A195" s="530">
        <v>57</v>
      </c>
      <c r="B195" s="34">
        <v>921</v>
      </c>
      <c r="C195" s="34" t="s">
        <v>248</v>
      </c>
      <c r="D195" s="34" t="s">
        <v>255</v>
      </c>
      <c r="E195" s="34" t="s">
        <v>115</v>
      </c>
      <c r="F195" s="673">
        <f>SUM(F196:F197)</f>
        <v>43.9</v>
      </c>
      <c r="G195" s="79"/>
      <c r="H195" s="532">
        <f>F195*G195</f>
        <v>0</v>
      </c>
      <c r="I195" s="533" t="s">
        <v>739</v>
      </c>
      <c r="J195" s="505"/>
      <c r="K195" s="505"/>
      <c r="L195" s="505"/>
      <c r="M195" s="505"/>
      <c r="N195" s="505"/>
      <c r="O195" s="505"/>
      <c r="P195" s="505"/>
      <c r="Q195" s="505"/>
      <c r="R195" s="505"/>
      <c r="S195" s="505"/>
      <c r="T195" s="949"/>
      <c r="U195" s="685"/>
      <c r="V195" s="505"/>
      <c r="W195" s="661"/>
      <c r="X195" s="661"/>
      <c r="Y195" s="661"/>
      <c r="Z195" s="661"/>
      <c r="AA195" s="661"/>
      <c r="AB195" s="661"/>
      <c r="AC195" s="661"/>
      <c r="AD195" s="661"/>
      <c r="AE195" s="505"/>
      <c r="AF195" s="505"/>
      <c r="AG195" s="949"/>
      <c r="AH195" s="452"/>
      <c r="AI195" s="452"/>
      <c r="AJ195" s="452"/>
      <c r="AK195" s="452"/>
      <c r="AL195" s="509"/>
      <c r="AM195" s="509"/>
      <c r="AN195" s="509"/>
      <c r="AO195" s="509"/>
      <c r="AP195" s="509"/>
      <c r="AQ195" s="509"/>
      <c r="AR195" s="509"/>
      <c r="AS195" s="509"/>
      <c r="AT195" s="509"/>
      <c r="AU195" s="509"/>
      <c r="AV195" s="509"/>
      <c r="AW195" s="509"/>
      <c r="AX195" s="509"/>
      <c r="AY195" s="505"/>
      <c r="AZ195" s="505"/>
      <c r="BA195" s="505"/>
      <c r="BB195" s="505"/>
      <c r="BC195" s="505"/>
      <c r="BD195" s="505"/>
    </row>
    <row r="196" spans="1:256" s="506" customFormat="1" ht="27" customHeight="1">
      <c r="A196" s="530"/>
      <c r="B196" s="34"/>
      <c r="C196" s="674"/>
      <c r="D196" s="36" t="s">
        <v>511</v>
      </c>
      <c r="E196" s="674"/>
      <c r="F196" s="675">
        <f>(25.2+2.2)</f>
        <v>27.4</v>
      </c>
      <c r="G196" s="676"/>
      <c r="H196" s="676"/>
      <c r="I196" s="533"/>
      <c r="J196" s="505"/>
      <c r="K196" s="505"/>
      <c r="L196" s="505"/>
      <c r="M196" s="505"/>
      <c r="N196" s="505"/>
      <c r="O196" s="505"/>
      <c r="P196" s="505"/>
      <c r="Q196" s="505"/>
      <c r="R196" s="505"/>
      <c r="S196" s="505"/>
      <c r="T196" s="949"/>
      <c r="U196" s="505"/>
      <c r="V196" s="505"/>
      <c r="W196" s="952"/>
      <c r="X196" s="505"/>
      <c r="Y196" s="505"/>
      <c r="Z196" s="505"/>
      <c r="AA196" s="505"/>
      <c r="AB196" s="505"/>
      <c r="AC196" s="505"/>
      <c r="AD196" s="505"/>
      <c r="AE196" s="505"/>
      <c r="AF196" s="505"/>
      <c r="AG196" s="949"/>
      <c r="AH196" s="452"/>
      <c r="AI196" s="452"/>
      <c r="AJ196" s="452"/>
      <c r="AK196" s="452"/>
      <c r="AL196" s="509"/>
      <c r="AM196" s="509"/>
      <c r="AN196" s="509"/>
      <c r="AO196" s="509"/>
      <c r="AP196" s="509"/>
      <c r="AQ196" s="857"/>
      <c r="AR196" s="857"/>
      <c r="AS196" s="857"/>
      <c r="AT196" s="509"/>
      <c r="AU196" s="509"/>
      <c r="AV196" s="509"/>
      <c r="AW196" s="509"/>
      <c r="AX196" s="509"/>
      <c r="AY196" s="505"/>
      <c r="AZ196" s="505"/>
      <c r="BA196" s="505"/>
      <c r="BB196" s="505"/>
      <c r="BC196" s="505"/>
      <c r="BD196" s="505"/>
    </row>
    <row r="197" spans="1:256" s="506" customFormat="1" ht="27" customHeight="1">
      <c r="A197" s="530"/>
      <c r="B197" s="34"/>
      <c r="C197" s="674"/>
      <c r="D197" s="36" t="s">
        <v>510</v>
      </c>
      <c r="E197" s="674"/>
      <c r="F197" s="675">
        <f>(6.8)+(9.7)</f>
        <v>16.5</v>
      </c>
      <c r="G197" s="676"/>
      <c r="H197" s="676"/>
      <c r="I197" s="533"/>
      <c r="J197" s="857"/>
      <c r="K197" s="857"/>
      <c r="L197" s="857"/>
      <c r="M197" s="685"/>
      <c r="N197" s="857"/>
      <c r="O197" s="857"/>
      <c r="P197" s="857"/>
      <c r="Q197" s="857"/>
      <c r="R197" s="513"/>
      <c r="S197" s="513"/>
      <c r="T197" s="513"/>
      <c r="U197" s="513"/>
      <c r="V197" s="513"/>
      <c r="W197" s="513"/>
      <c r="X197" s="513"/>
      <c r="Y197" s="513"/>
      <c r="Z197" s="452"/>
      <c r="AA197" s="452"/>
      <c r="AB197" s="452"/>
      <c r="AC197" s="452"/>
      <c r="AD197" s="452"/>
      <c r="AE197" s="452"/>
      <c r="AF197" s="452"/>
      <c r="AG197" s="452"/>
      <c r="AH197" s="452"/>
      <c r="AI197" s="452"/>
      <c r="AJ197" s="452"/>
      <c r="AK197" s="452"/>
      <c r="AL197" s="509"/>
      <c r="AM197" s="509"/>
      <c r="AN197" s="509"/>
      <c r="AO197" s="509"/>
      <c r="AP197" s="509"/>
      <c r="AQ197" s="509"/>
      <c r="AR197" s="509"/>
      <c r="AS197" s="509"/>
      <c r="AT197" s="509"/>
      <c r="AU197" s="509"/>
      <c r="AV197" s="509"/>
      <c r="AW197" s="509"/>
      <c r="AX197" s="509"/>
      <c r="AY197" s="505"/>
      <c r="AZ197" s="505"/>
      <c r="BA197" s="505"/>
      <c r="BB197" s="505"/>
      <c r="BC197" s="505"/>
      <c r="BD197" s="505"/>
    </row>
    <row r="198" spans="1:256" s="506" customFormat="1" ht="67.5" customHeight="1">
      <c r="A198" s="679"/>
      <c r="B198" s="680"/>
      <c r="C198" s="863"/>
      <c r="D198" s="388" t="s">
        <v>195</v>
      </c>
      <c r="E198" s="46"/>
      <c r="F198" s="682"/>
      <c r="G198" s="683"/>
      <c r="H198" s="84"/>
      <c r="I198" s="533"/>
      <c r="J198" s="952"/>
      <c r="K198" s="505"/>
      <c r="L198" s="505"/>
      <c r="M198" s="685"/>
      <c r="N198" s="505"/>
      <c r="O198" s="505"/>
      <c r="P198" s="505"/>
      <c r="Q198" s="505"/>
      <c r="R198" s="505"/>
      <c r="S198" s="505"/>
      <c r="T198" s="505"/>
      <c r="U198" s="505"/>
      <c r="V198" s="509"/>
      <c r="W198" s="509"/>
      <c r="X198" s="509"/>
      <c r="Y198" s="509"/>
      <c r="Z198" s="509"/>
      <c r="AA198" s="509"/>
      <c r="AB198" s="509"/>
      <c r="AC198" s="509"/>
      <c r="AD198" s="509"/>
      <c r="AE198" s="509"/>
      <c r="AF198" s="509"/>
      <c r="AG198" s="509"/>
      <c r="AH198" s="509"/>
      <c r="AI198" s="509"/>
      <c r="AJ198" s="509"/>
      <c r="AK198" s="509"/>
      <c r="AL198" s="509"/>
      <c r="AM198" s="509"/>
      <c r="AN198" s="509"/>
      <c r="AO198" s="509"/>
      <c r="AP198" s="509"/>
      <c r="AQ198" s="509"/>
      <c r="AR198" s="509"/>
      <c r="AS198" s="509"/>
      <c r="AT198" s="509"/>
      <c r="AU198" s="509"/>
      <c r="AV198" s="509"/>
      <c r="AW198" s="509"/>
      <c r="AX198" s="509"/>
      <c r="AY198" s="513"/>
      <c r="AZ198" s="513"/>
      <c r="BA198" s="513"/>
      <c r="BB198" s="513"/>
      <c r="BC198" s="513"/>
      <c r="BD198" s="513"/>
      <c r="BE198" s="77"/>
      <c r="BF198" s="77"/>
      <c r="BG198" s="77"/>
      <c r="BH198" s="77"/>
      <c r="BI198" s="77"/>
      <c r="BJ198" s="77"/>
      <c r="BK198" s="77"/>
      <c r="BL198" s="77"/>
      <c r="BM198" s="77"/>
      <c r="BN198" s="77"/>
      <c r="BO198" s="77"/>
      <c r="BP198" s="77"/>
      <c r="BQ198" s="77"/>
      <c r="BR198" s="77"/>
      <c r="BS198" s="77"/>
      <c r="BT198" s="77"/>
      <c r="BU198" s="77"/>
      <c r="BV198" s="77"/>
      <c r="BW198" s="77"/>
      <c r="BX198" s="77"/>
      <c r="BY198" s="77"/>
      <c r="BZ198" s="77"/>
      <c r="CA198" s="77"/>
      <c r="CB198" s="77"/>
      <c r="CC198" s="77"/>
      <c r="CD198" s="77"/>
      <c r="CE198" s="77"/>
      <c r="CF198" s="77"/>
      <c r="CG198" s="77"/>
      <c r="CH198" s="77"/>
      <c r="CI198" s="77"/>
      <c r="CJ198" s="77"/>
      <c r="CK198" s="77"/>
      <c r="CL198" s="77"/>
      <c r="CM198" s="77"/>
      <c r="CN198" s="77"/>
      <c r="CO198" s="77"/>
      <c r="CP198" s="77"/>
      <c r="CQ198" s="77"/>
      <c r="CR198" s="77"/>
      <c r="CS198" s="77"/>
      <c r="CT198" s="77"/>
      <c r="CU198" s="77"/>
      <c r="CV198" s="77"/>
      <c r="CW198" s="77"/>
      <c r="CX198" s="77"/>
      <c r="CY198" s="77"/>
      <c r="CZ198" s="77"/>
      <c r="DA198" s="77"/>
      <c r="DB198" s="77"/>
      <c r="DC198" s="77"/>
      <c r="DD198" s="77"/>
      <c r="DE198" s="77"/>
      <c r="DF198" s="77"/>
      <c r="DG198" s="77"/>
      <c r="DH198" s="77"/>
      <c r="DI198" s="77"/>
      <c r="DJ198" s="77"/>
      <c r="DK198" s="77"/>
      <c r="DL198" s="77"/>
      <c r="DM198" s="77"/>
      <c r="DN198" s="77"/>
      <c r="DO198" s="77"/>
      <c r="DP198" s="77"/>
      <c r="DQ198" s="77"/>
      <c r="DR198" s="77"/>
      <c r="DS198" s="77"/>
      <c r="DT198" s="77"/>
      <c r="DU198" s="77"/>
      <c r="DV198" s="77"/>
      <c r="DW198" s="77"/>
      <c r="DX198" s="77"/>
      <c r="DY198" s="77"/>
      <c r="DZ198" s="77"/>
      <c r="EA198" s="77"/>
      <c r="EB198" s="77"/>
      <c r="EC198" s="77"/>
      <c r="ED198" s="77"/>
      <c r="EE198" s="77"/>
      <c r="EF198" s="77"/>
      <c r="EG198" s="77"/>
      <c r="EH198" s="77"/>
      <c r="EI198" s="77"/>
      <c r="EJ198" s="77"/>
      <c r="EK198" s="77"/>
      <c r="EL198" s="77"/>
      <c r="EM198" s="77"/>
      <c r="EN198" s="77"/>
      <c r="EO198" s="77"/>
      <c r="EP198" s="77"/>
      <c r="EQ198" s="77"/>
      <c r="ER198" s="77"/>
      <c r="ES198" s="77"/>
      <c r="ET198" s="77"/>
      <c r="EU198" s="77"/>
      <c r="EV198" s="77"/>
      <c r="EW198" s="77"/>
      <c r="EX198" s="77"/>
      <c r="EY198" s="77"/>
      <c r="EZ198" s="77"/>
      <c r="FA198" s="77"/>
      <c r="FB198" s="77"/>
      <c r="FC198" s="77"/>
      <c r="FD198" s="77"/>
      <c r="FE198" s="77"/>
      <c r="FF198" s="77"/>
      <c r="FG198" s="77"/>
      <c r="FH198" s="77"/>
      <c r="FI198" s="77"/>
      <c r="FJ198" s="77"/>
      <c r="FK198" s="77"/>
      <c r="FL198" s="77"/>
      <c r="FM198" s="77"/>
      <c r="FN198" s="77"/>
      <c r="FO198" s="77"/>
      <c r="FP198" s="77"/>
      <c r="FQ198" s="77"/>
      <c r="FR198" s="77"/>
      <c r="FS198" s="77"/>
      <c r="FT198" s="77"/>
      <c r="FU198" s="77"/>
      <c r="FV198" s="77"/>
      <c r="FW198" s="77"/>
      <c r="FX198" s="77"/>
      <c r="FY198" s="77"/>
      <c r="FZ198" s="77"/>
      <c r="GA198" s="77"/>
      <c r="GB198" s="77"/>
      <c r="GC198" s="77"/>
      <c r="GD198" s="77"/>
      <c r="GE198" s="77"/>
      <c r="GF198" s="77"/>
      <c r="GG198" s="77"/>
      <c r="GH198" s="77"/>
      <c r="GI198" s="77"/>
      <c r="GJ198" s="77"/>
      <c r="GK198" s="77"/>
      <c r="GL198" s="77"/>
      <c r="GM198" s="77"/>
      <c r="GN198" s="77"/>
      <c r="GO198" s="77"/>
      <c r="GP198" s="77"/>
      <c r="GQ198" s="77"/>
      <c r="GR198" s="77"/>
      <c r="GS198" s="77"/>
      <c r="GT198" s="77"/>
      <c r="GU198" s="77"/>
      <c r="GV198" s="77"/>
      <c r="GW198" s="77"/>
      <c r="GX198" s="77"/>
      <c r="GY198" s="77"/>
      <c r="GZ198" s="77"/>
      <c r="HA198" s="77"/>
      <c r="HB198" s="77"/>
      <c r="HC198" s="77"/>
      <c r="HD198" s="77"/>
      <c r="HE198" s="77"/>
      <c r="HF198" s="77"/>
      <c r="HG198" s="77"/>
      <c r="HH198" s="77"/>
      <c r="HI198" s="77"/>
      <c r="HJ198" s="77"/>
      <c r="HK198" s="77"/>
      <c r="HL198" s="77"/>
      <c r="HM198" s="77"/>
      <c r="HN198" s="77"/>
      <c r="HO198" s="77"/>
      <c r="HP198" s="77"/>
      <c r="HQ198" s="77"/>
      <c r="HR198" s="77"/>
      <c r="HS198" s="77"/>
      <c r="HT198" s="77"/>
      <c r="HU198" s="77"/>
      <c r="HV198" s="77"/>
      <c r="HW198" s="77"/>
      <c r="HX198" s="77"/>
      <c r="HY198" s="77"/>
      <c r="HZ198" s="77"/>
      <c r="IA198" s="77"/>
      <c r="IB198" s="77"/>
      <c r="IC198" s="77"/>
      <c r="ID198" s="77"/>
      <c r="IE198" s="77"/>
      <c r="IF198" s="77"/>
      <c r="IG198" s="77"/>
      <c r="IH198" s="77"/>
      <c r="II198" s="77"/>
      <c r="IJ198" s="77"/>
      <c r="IK198" s="77"/>
      <c r="IL198" s="77"/>
      <c r="IM198" s="77"/>
      <c r="IN198" s="77"/>
      <c r="IO198" s="77"/>
      <c r="IP198" s="77"/>
      <c r="IQ198" s="77"/>
      <c r="IR198" s="77"/>
      <c r="IS198" s="77"/>
      <c r="IT198" s="77"/>
      <c r="IU198" s="77"/>
      <c r="IV198" s="77"/>
    </row>
    <row r="199" spans="1:256" s="947" customFormat="1" ht="13.5" customHeight="1">
      <c r="A199" s="939"/>
      <c r="B199" s="939"/>
      <c r="C199" s="940" t="s">
        <v>249</v>
      </c>
      <c r="D199" s="940" t="s">
        <v>250</v>
      </c>
      <c r="E199" s="940"/>
      <c r="F199" s="941"/>
      <c r="G199" s="607"/>
      <c r="H199" s="607">
        <f>SUM(H200:H207)</f>
        <v>0</v>
      </c>
      <c r="I199" s="608"/>
      <c r="J199" s="857"/>
      <c r="K199" s="857"/>
      <c r="L199" s="857"/>
      <c r="M199" s="857"/>
      <c r="N199" s="857"/>
      <c r="O199" s="857"/>
      <c r="P199" s="857"/>
      <c r="Q199" s="857"/>
      <c r="R199" s="513"/>
      <c r="S199" s="513"/>
      <c r="T199" s="513"/>
      <c r="U199" s="513"/>
      <c r="V199" s="509"/>
      <c r="W199" s="509"/>
      <c r="X199" s="509"/>
      <c r="Y199" s="509"/>
      <c r="Z199" s="509"/>
      <c r="AA199" s="509"/>
      <c r="AB199" s="509"/>
      <c r="AC199" s="509"/>
      <c r="AD199" s="509"/>
      <c r="AE199" s="509"/>
      <c r="AF199" s="509"/>
      <c r="AG199" s="509"/>
      <c r="AH199" s="509"/>
      <c r="AI199" s="509"/>
      <c r="AJ199" s="509"/>
      <c r="AK199" s="509"/>
      <c r="AL199" s="509"/>
      <c r="AM199" s="509"/>
      <c r="AN199" s="509"/>
      <c r="AO199" s="509"/>
      <c r="AP199" s="509"/>
      <c r="AQ199" s="509"/>
      <c r="AR199" s="509"/>
      <c r="AS199" s="509"/>
      <c r="AT199" s="509"/>
      <c r="AU199" s="509"/>
      <c r="AV199" s="509"/>
      <c r="AW199" s="509"/>
      <c r="AX199" s="509"/>
      <c r="AY199" s="946"/>
      <c r="AZ199" s="946"/>
      <c r="BA199" s="946"/>
      <c r="BB199" s="946"/>
      <c r="BC199" s="946"/>
      <c r="BD199" s="946"/>
    </row>
    <row r="200" spans="1:256" s="506" customFormat="1" ht="27" customHeight="1">
      <c r="A200" s="530">
        <v>58</v>
      </c>
      <c r="B200" s="34">
        <v>946</v>
      </c>
      <c r="C200" s="34" t="s">
        <v>313</v>
      </c>
      <c r="D200" s="34" t="s">
        <v>314</v>
      </c>
      <c r="E200" s="34" t="s">
        <v>115</v>
      </c>
      <c r="F200" s="673">
        <f>SUM(F201:F202)</f>
        <v>43.9</v>
      </c>
      <c r="G200" s="79"/>
      <c r="H200" s="532">
        <f>F200*G200</f>
        <v>0</v>
      </c>
      <c r="I200" s="533" t="s">
        <v>739</v>
      </c>
      <c r="J200" s="948"/>
      <c r="K200" s="505"/>
      <c r="L200" s="951"/>
      <c r="M200" s="951"/>
      <c r="N200" s="951"/>
      <c r="O200" s="951"/>
      <c r="P200" s="951"/>
      <c r="Q200" s="951"/>
      <c r="R200" s="951"/>
      <c r="S200" s="949"/>
      <c r="T200" s="505"/>
      <c r="U200" s="505"/>
      <c r="V200" s="509"/>
      <c r="W200" s="509"/>
      <c r="X200" s="509"/>
      <c r="Y200" s="509"/>
      <c r="Z200" s="509"/>
      <c r="AA200" s="509"/>
      <c r="AB200" s="509"/>
      <c r="AC200" s="509"/>
      <c r="AD200" s="509"/>
      <c r="AE200" s="509"/>
      <c r="AF200" s="505"/>
      <c r="AG200" s="505"/>
      <c r="AH200" s="505"/>
      <c r="AI200" s="505"/>
      <c r="AJ200" s="505"/>
      <c r="AK200" s="505"/>
      <c r="AL200" s="505"/>
      <c r="AM200" s="505"/>
      <c r="AN200" s="505"/>
      <c r="AO200" s="505"/>
      <c r="AP200" s="505"/>
      <c r="AQ200" s="505"/>
      <c r="AR200" s="505"/>
      <c r="AS200" s="505"/>
      <c r="AT200" s="509"/>
      <c r="AU200" s="509"/>
      <c r="AV200" s="509"/>
      <c r="AW200" s="509"/>
      <c r="AX200" s="509"/>
      <c r="AY200" s="505"/>
      <c r="AZ200" s="505"/>
      <c r="BA200" s="505"/>
      <c r="BB200" s="505"/>
      <c r="BC200" s="505"/>
      <c r="BD200" s="505"/>
    </row>
    <row r="201" spans="1:256" s="506" customFormat="1" ht="27" customHeight="1">
      <c r="A201" s="530"/>
      <c r="B201" s="34"/>
      <c r="C201" s="674"/>
      <c r="D201" s="36" t="s">
        <v>512</v>
      </c>
      <c r="E201" s="674"/>
      <c r="F201" s="675">
        <f>(25.2+2.2)</f>
        <v>27.4</v>
      </c>
      <c r="G201" s="676"/>
      <c r="H201" s="676"/>
      <c r="I201" s="533"/>
      <c r="J201" s="952"/>
      <c r="K201" s="505"/>
      <c r="L201" s="505"/>
      <c r="M201" s="685"/>
      <c r="N201" s="505"/>
      <c r="O201" s="505"/>
      <c r="P201" s="505"/>
      <c r="Q201" s="505"/>
      <c r="R201" s="505"/>
      <c r="S201" s="505"/>
      <c r="T201" s="505"/>
      <c r="U201" s="505"/>
      <c r="V201" s="509"/>
      <c r="W201" s="509"/>
      <c r="X201" s="509"/>
      <c r="Y201" s="509"/>
      <c r="Z201" s="509"/>
      <c r="AA201" s="509"/>
      <c r="AB201" s="509"/>
      <c r="AC201" s="509"/>
      <c r="AD201" s="509"/>
      <c r="AE201" s="509"/>
      <c r="AF201" s="373"/>
      <c r="AG201" s="373"/>
      <c r="AH201" s="373"/>
      <c r="AI201" s="373"/>
      <c r="AJ201" s="373"/>
      <c r="AK201" s="373"/>
      <c r="AL201" s="373"/>
      <c r="AM201" s="373"/>
      <c r="AN201" s="373"/>
      <c r="AO201" s="373"/>
      <c r="AP201" s="373"/>
      <c r="AQ201" s="373"/>
      <c r="AR201" s="373"/>
      <c r="AS201" s="373"/>
      <c r="AT201" s="509"/>
      <c r="AU201" s="509"/>
      <c r="AV201" s="509"/>
      <c r="AW201" s="509"/>
      <c r="AX201" s="509"/>
      <c r="AY201" s="505"/>
      <c r="AZ201" s="505"/>
      <c r="BA201" s="505"/>
      <c r="BB201" s="505"/>
      <c r="BC201" s="505"/>
      <c r="BD201" s="505"/>
    </row>
    <row r="202" spans="1:256" s="506" customFormat="1" ht="13.5" customHeight="1">
      <c r="A202" s="530"/>
      <c r="B202" s="34"/>
      <c r="C202" s="674"/>
      <c r="D202" s="36" t="s">
        <v>513</v>
      </c>
      <c r="E202" s="674"/>
      <c r="F202" s="675">
        <f>(6.8)+(9.7)</f>
        <v>16.5</v>
      </c>
      <c r="G202" s="676"/>
      <c r="H202" s="676"/>
      <c r="I202" s="533"/>
      <c r="J202" s="857"/>
      <c r="K202" s="857"/>
      <c r="L202" s="857"/>
      <c r="M202" s="857"/>
      <c r="N202" s="857"/>
      <c r="O202" s="857"/>
      <c r="P202" s="857"/>
      <c r="Q202" s="857"/>
      <c r="R202" s="513"/>
      <c r="S202" s="513"/>
      <c r="T202" s="513"/>
      <c r="U202" s="513"/>
      <c r="V202" s="509"/>
      <c r="W202" s="509"/>
      <c r="X202" s="509"/>
      <c r="Y202" s="509"/>
      <c r="Z202" s="509"/>
      <c r="AA202" s="509"/>
      <c r="AB202" s="509"/>
      <c r="AC202" s="509"/>
      <c r="AD202" s="509"/>
      <c r="AE202" s="509"/>
      <c r="AF202" s="509"/>
      <c r="AG202" s="509"/>
      <c r="AH202" s="509"/>
      <c r="AI202" s="509"/>
      <c r="AJ202" s="509"/>
      <c r="AK202" s="509"/>
      <c r="AL202" s="509"/>
      <c r="AM202" s="509"/>
      <c r="AN202" s="509"/>
      <c r="AO202" s="509"/>
      <c r="AP202" s="509"/>
      <c r="AQ202" s="509"/>
      <c r="AR202" s="509"/>
      <c r="AS202" s="509"/>
      <c r="AT202" s="509"/>
      <c r="AU202" s="509"/>
      <c r="AV202" s="509"/>
      <c r="AW202" s="509"/>
      <c r="AX202" s="509"/>
      <c r="AY202" s="505"/>
      <c r="AZ202" s="505"/>
      <c r="BA202" s="505"/>
      <c r="BB202" s="505"/>
      <c r="BC202" s="505"/>
      <c r="BD202" s="505"/>
    </row>
    <row r="203" spans="1:256" s="506" customFormat="1" ht="67.5" customHeight="1">
      <c r="A203" s="679"/>
      <c r="B203" s="680"/>
      <c r="C203" s="863"/>
      <c r="D203" s="388" t="s">
        <v>195</v>
      </c>
      <c r="E203" s="46"/>
      <c r="F203" s="682"/>
      <c r="G203" s="683"/>
      <c r="H203" s="84"/>
      <c r="I203" s="533"/>
      <c r="J203" s="857"/>
      <c r="K203" s="857"/>
      <c r="L203" s="857"/>
      <c r="M203" s="857"/>
      <c r="N203" s="857"/>
      <c r="O203" s="857"/>
      <c r="P203" s="857"/>
      <c r="Q203" s="857"/>
      <c r="R203" s="513"/>
      <c r="S203" s="513"/>
      <c r="T203" s="513"/>
      <c r="U203" s="513"/>
      <c r="V203" s="509"/>
      <c r="W203" s="509"/>
      <c r="X203" s="509"/>
      <c r="Y203" s="509"/>
      <c r="Z203" s="509"/>
      <c r="AA203" s="509"/>
      <c r="AB203" s="509"/>
      <c r="AC203" s="509"/>
      <c r="AD203" s="509"/>
      <c r="AE203" s="509"/>
      <c r="AF203" s="509"/>
      <c r="AG203" s="509"/>
      <c r="AH203" s="509"/>
      <c r="AI203" s="509"/>
      <c r="AJ203" s="509"/>
      <c r="AK203" s="509"/>
      <c r="AL203" s="509"/>
      <c r="AM203" s="509"/>
      <c r="AN203" s="509"/>
      <c r="AO203" s="509"/>
      <c r="AP203" s="509"/>
      <c r="AQ203" s="509"/>
      <c r="AR203" s="509"/>
      <c r="AS203" s="509"/>
      <c r="AT203" s="509"/>
      <c r="AU203" s="509"/>
      <c r="AV203" s="509"/>
      <c r="AW203" s="509"/>
      <c r="AX203" s="509"/>
      <c r="AY203" s="513"/>
      <c r="AZ203" s="513"/>
      <c r="BA203" s="513"/>
      <c r="BB203" s="513"/>
      <c r="BC203" s="513"/>
      <c r="BD203" s="513"/>
      <c r="BE203" s="77"/>
      <c r="BF203" s="77"/>
      <c r="BG203" s="77"/>
      <c r="BH203" s="77"/>
      <c r="BI203" s="77"/>
      <c r="BJ203" s="77"/>
      <c r="BK203" s="77"/>
      <c r="BL203" s="77"/>
      <c r="BM203" s="77"/>
      <c r="BN203" s="77"/>
      <c r="BO203" s="77"/>
      <c r="BP203" s="77"/>
      <c r="BQ203" s="77"/>
      <c r="BR203" s="77"/>
      <c r="BS203" s="77"/>
      <c r="BT203" s="77"/>
      <c r="BU203" s="77"/>
      <c r="BV203" s="77"/>
      <c r="BW203" s="77"/>
      <c r="BX203" s="77"/>
      <c r="BY203" s="77"/>
      <c r="BZ203" s="77"/>
      <c r="CA203" s="77"/>
      <c r="CB203" s="77"/>
      <c r="CC203" s="77"/>
      <c r="CD203" s="77"/>
      <c r="CE203" s="77"/>
      <c r="CF203" s="77"/>
      <c r="CG203" s="77"/>
      <c r="CH203" s="77"/>
      <c r="CI203" s="77"/>
      <c r="CJ203" s="77"/>
      <c r="CK203" s="77"/>
      <c r="CL203" s="77"/>
      <c r="CM203" s="77"/>
      <c r="CN203" s="77"/>
      <c r="CO203" s="77"/>
      <c r="CP203" s="77"/>
      <c r="CQ203" s="77"/>
      <c r="CR203" s="77"/>
      <c r="CS203" s="77"/>
      <c r="CT203" s="77"/>
      <c r="CU203" s="77"/>
      <c r="CV203" s="77"/>
      <c r="CW203" s="77"/>
      <c r="CX203" s="77"/>
      <c r="CY203" s="77"/>
      <c r="CZ203" s="77"/>
      <c r="DA203" s="77"/>
      <c r="DB203" s="77"/>
      <c r="DC203" s="77"/>
      <c r="DD203" s="77"/>
      <c r="DE203" s="77"/>
      <c r="DF203" s="77"/>
      <c r="DG203" s="77"/>
      <c r="DH203" s="77"/>
      <c r="DI203" s="77"/>
      <c r="DJ203" s="77"/>
      <c r="DK203" s="77"/>
      <c r="DL203" s="77"/>
      <c r="DM203" s="77"/>
      <c r="DN203" s="77"/>
      <c r="DO203" s="77"/>
      <c r="DP203" s="77"/>
      <c r="DQ203" s="77"/>
      <c r="DR203" s="77"/>
      <c r="DS203" s="77"/>
      <c r="DT203" s="77"/>
      <c r="DU203" s="77"/>
      <c r="DV203" s="77"/>
      <c r="DW203" s="77"/>
      <c r="DX203" s="77"/>
      <c r="DY203" s="77"/>
      <c r="DZ203" s="77"/>
      <c r="EA203" s="77"/>
      <c r="EB203" s="77"/>
      <c r="EC203" s="77"/>
      <c r="ED203" s="77"/>
      <c r="EE203" s="77"/>
      <c r="EF203" s="77"/>
      <c r="EG203" s="77"/>
      <c r="EH203" s="77"/>
      <c r="EI203" s="77"/>
      <c r="EJ203" s="77"/>
      <c r="EK203" s="77"/>
      <c r="EL203" s="77"/>
      <c r="EM203" s="77"/>
      <c r="EN203" s="77"/>
      <c r="EO203" s="77"/>
      <c r="EP203" s="77"/>
      <c r="EQ203" s="77"/>
      <c r="ER203" s="77"/>
      <c r="ES203" s="77"/>
      <c r="ET203" s="77"/>
      <c r="EU203" s="77"/>
      <c r="EV203" s="77"/>
      <c r="EW203" s="77"/>
      <c r="EX203" s="77"/>
      <c r="EY203" s="77"/>
      <c r="EZ203" s="77"/>
      <c r="FA203" s="77"/>
      <c r="FB203" s="77"/>
      <c r="FC203" s="77"/>
      <c r="FD203" s="77"/>
      <c r="FE203" s="77"/>
      <c r="FF203" s="77"/>
      <c r="FG203" s="77"/>
      <c r="FH203" s="77"/>
      <c r="FI203" s="77"/>
      <c r="FJ203" s="77"/>
      <c r="FK203" s="77"/>
      <c r="FL203" s="77"/>
      <c r="FM203" s="77"/>
      <c r="FN203" s="77"/>
      <c r="FO203" s="77"/>
      <c r="FP203" s="77"/>
      <c r="FQ203" s="77"/>
      <c r="FR203" s="77"/>
      <c r="FS203" s="77"/>
      <c r="FT203" s="77"/>
      <c r="FU203" s="77"/>
      <c r="FV203" s="77"/>
      <c r="FW203" s="77"/>
      <c r="FX203" s="77"/>
      <c r="FY203" s="77"/>
      <c r="FZ203" s="77"/>
      <c r="GA203" s="77"/>
      <c r="GB203" s="77"/>
      <c r="GC203" s="77"/>
      <c r="GD203" s="77"/>
      <c r="GE203" s="77"/>
      <c r="GF203" s="77"/>
      <c r="GG203" s="77"/>
      <c r="GH203" s="77"/>
      <c r="GI203" s="77"/>
      <c r="GJ203" s="77"/>
      <c r="GK203" s="77"/>
      <c r="GL203" s="77"/>
      <c r="GM203" s="77"/>
      <c r="GN203" s="77"/>
      <c r="GO203" s="77"/>
      <c r="GP203" s="77"/>
      <c r="GQ203" s="77"/>
      <c r="GR203" s="77"/>
      <c r="GS203" s="77"/>
      <c r="GT203" s="77"/>
      <c r="GU203" s="77"/>
      <c r="GV203" s="77"/>
      <c r="GW203" s="77"/>
      <c r="GX203" s="77"/>
      <c r="GY203" s="77"/>
      <c r="GZ203" s="77"/>
      <c r="HA203" s="77"/>
      <c r="HB203" s="77"/>
      <c r="HC203" s="77"/>
      <c r="HD203" s="77"/>
      <c r="HE203" s="77"/>
      <c r="HF203" s="77"/>
      <c r="HG203" s="77"/>
      <c r="HH203" s="77"/>
      <c r="HI203" s="77"/>
      <c r="HJ203" s="77"/>
      <c r="HK203" s="77"/>
      <c r="HL203" s="77"/>
      <c r="HM203" s="77"/>
      <c r="HN203" s="77"/>
      <c r="HO203" s="77"/>
      <c r="HP203" s="77"/>
      <c r="HQ203" s="77"/>
      <c r="HR203" s="77"/>
      <c r="HS203" s="77"/>
      <c r="HT203" s="77"/>
      <c r="HU203" s="77"/>
      <c r="HV203" s="77"/>
      <c r="HW203" s="77"/>
      <c r="HX203" s="77"/>
      <c r="HY203" s="77"/>
      <c r="HZ203" s="77"/>
      <c r="IA203" s="77"/>
      <c r="IB203" s="77"/>
      <c r="IC203" s="77"/>
      <c r="ID203" s="77"/>
      <c r="IE203" s="77"/>
      <c r="IF203" s="77"/>
      <c r="IG203" s="77"/>
      <c r="IH203" s="77"/>
      <c r="II203" s="77"/>
      <c r="IJ203" s="77"/>
      <c r="IK203" s="77"/>
      <c r="IL203" s="77"/>
      <c r="IM203" s="77"/>
      <c r="IN203" s="77"/>
      <c r="IO203" s="77"/>
      <c r="IP203" s="77"/>
      <c r="IQ203" s="77"/>
      <c r="IR203" s="77"/>
      <c r="IS203" s="77"/>
      <c r="IT203" s="77"/>
      <c r="IU203" s="77"/>
      <c r="IV203" s="77"/>
    </row>
    <row r="204" spans="1:256" s="506" customFormat="1" ht="27" customHeight="1">
      <c r="A204" s="530">
        <v>59</v>
      </c>
      <c r="B204" s="34">
        <v>946</v>
      </c>
      <c r="C204" s="34" t="s">
        <v>288</v>
      </c>
      <c r="D204" s="34" t="s">
        <v>256</v>
      </c>
      <c r="E204" s="34" t="s">
        <v>115</v>
      </c>
      <c r="F204" s="673">
        <f>SUM(F205:F206)</f>
        <v>43.9</v>
      </c>
      <c r="G204" s="79"/>
      <c r="H204" s="532">
        <f>F204*G204</f>
        <v>0</v>
      </c>
      <c r="I204" s="533" t="s">
        <v>739</v>
      </c>
      <c r="J204" s="948"/>
      <c r="K204" s="950"/>
      <c r="L204" s="951"/>
      <c r="M204" s="951"/>
      <c r="N204" s="951"/>
      <c r="O204" s="951"/>
      <c r="P204" s="951"/>
      <c r="Q204" s="951"/>
      <c r="R204" s="951"/>
      <c r="S204" s="505"/>
      <c r="T204" s="949"/>
      <c r="U204" s="946"/>
      <c r="V204" s="505"/>
      <c r="W204" s="505"/>
      <c r="X204" s="505"/>
      <c r="Y204" s="505"/>
      <c r="Z204" s="505"/>
      <c r="AA204" s="505"/>
      <c r="AB204" s="505"/>
      <c r="AC204" s="505"/>
      <c r="AD204" s="505"/>
      <c r="AE204" s="505"/>
      <c r="AF204" s="505"/>
      <c r="AG204" s="505"/>
      <c r="AH204" s="505"/>
      <c r="AI204" s="505"/>
      <c r="AJ204" s="505"/>
      <c r="AK204" s="505"/>
      <c r="AL204" s="505"/>
      <c r="AM204" s="505"/>
      <c r="AN204" s="505"/>
      <c r="AO204" s="505"/>
      <c r="AP204" s="505"/>
      <c r="AQ204" s="505"/>
      <c r="AR204" s="505"/>
      <c r="AS204" s="505"/>
      <c r="AT204" s="505"/>
      <c r="AU204" s="505"/>
      <c r="AV204" s="505"/>
      <c r="AW204" s="505"/>
      <c r="AX204" s="505"/>
      <c r="AY204" s="505"/>
      <c r="AZ204" s="505"/>
      <c r="BA204" s="505"/>
      <c r="BB204" s="505"/>
      <c r="BC204" s="505"/>
      <c r="BD204" s="505"/>
    </row>
    <row r="205" spans="1:256" s="506" customFormat="1" ht="27" customHeight="1">
      <c r="A205" s="530"/>
      <c r="B205" s="34"/>
      <c r="C205" s="674"/>
      <c r="D205" s="36" t="s">
        <v>512</v>
      </c>
      <c r="E205" s="674"/>
      <c r="F205" s="675">
        <f>(25.2+2.2)</f>
        <v>27.4</v>
      </c>
      <c r="G205" s="676"/>
      <c r="H205" s="676"/>
      <c r="I205" s="1110"/>
      <c r="J205" s="952"/>
      <c r="K205" s="505"/>
      <c r="L205" s="505"/>
      <c r="M205" s="685"/>
      <c r="N205" s="505"/>
      <c r="O205" s="505"/>
      <c r="P205" s="505"/>
      <c r="Q205" s="505"/>
      <c r="R205" s="505"/>
      <c r="S205" s="505"/>
      <c r="T205" s="505"/>
      <c r="U205" s="373"/>
      <c r="V205" s="373"/>
      <c r="W205" s="373"/>
      <c r="X205" s="373"/>
      <c r="Y205" s="373"/>
      <c r="Z205" s="373"/>
      <c r="AA205" s="373"/>
      <c r="AB205" s="373"/>
      <c r="AC205" s="373"/>
      <c r="AD205" s="373"/>
      <c r="AE205" s="373"/>
      <c r="AF205" s="373"/>
      <c r="AG205" s="373"/>
      <c r="AH205" s="373"/>
      <c r="AI205" s="373"/>
      <c r="AJ205" s="373"/>
      <c r="AK205" s="373"/>
      <c r="AL205" s="373"/>
      <c r="AM205" s="373"/>
      <c r="AN205" s="373"/>
      <c r="AO205" s="373"/>
      <c r="AP205" s="373"/>
      <c r="AQ205" s="373"/>
      <c r="AR205" s="373"/>
      <c r="AS205" s="373"/>
      <c r="AT205" s="373"/>
      <c r="AU205" s="373"/>
      <c r="AV205" s="373"/>
      <c r="AW205" s="373"/>
      <c r="AX205" s="373"/>
      <c r="AY205" s="505"/>
      <c r="AZ205" s="505"/>
      <c r="BA205" s="505"/>
      <c r="BB205" s="505"/>
      <c r="BC205" s="505"/>
      <c r="BD205" s="505"/>
    </row>
    <row r="206" spans="1:256" s="506" customFormat="1" ht="13.5" customHeight="1">
      <c r="A206" s="530"/>
      <c r="B206" s="34"/>
      <c r="C206" s="674"/>
      <c r="D206" s="36" t="s">
        <v>513</v>
      </c>
      <c r="E206" s="674"/>
      <c r="F206" s="675">
        <f>(6.8)+(9.7)</f>
        <v>16.5</v>
      </c>
      <c r="G206" s="676"/>
      <c r="H206" s="676"/>
      <c r="I206" s="1110"/>
      <c r="J206" s="857"/>
      <c r="K206" s="857"/>
      <c r="L206" s="857"/>
      <c r="M206" s="857"/>
      <c r="N206" s="857"/>
      <c r="O206" s="857"/>
      <c r="P206" s="857"/>
      <c r="Q206" s="857"/>
      <c r="R206" s="513"/>
      <c r="S206" s="513"/>
      <c r="T206" s="513"/>
      <c r="U206" s="509"/>
      <c r="V206" s="509"/>
      <c r="W206" s="509"/>
      <c r="X206" s="509"/>
      <c r="Y206" s="509"/>
      <c r="Z206" s="509"/>
      <c r="AA206" s="509"/>
      <c r="AB206" s="509"/>
      <c r="AC206" s="509"/>
      <c r="AD206" s="509"/>
      <c r="AE206" s="509"/>
      <c r="AF206" s="509"/>
      <c r="AG206" s="509"/>
      <c r="AH206" s="509"/>
      <c r="AI206" s="509"/>
      <c r="AJ206" s="509"/>
      <c r="AK206" s="509"/>
      <c r="AL206" s="373"/>
      <c r="AM206" s="373"/>
      <c r="AN206" s="373"/>
      <c r="AO206" s="373"/>
      <c r="AP206" s="373"/>
      <c r="AQ206" s="373"/>
      <c r="AR206" s="373"/>
      <c r="AS206" s="373"/>
      <c r="AT206" s="373"/>
      <c r="AU206" s="373"/>
      <c r="AV206" s="373"/>
      <c r="AW206" s="373"/>
      <c r="AX206" s="373"/>
      <c r="AY206" s="505"/>
      <c r="AZ206" s="505"/>
      <c r="BA206" s="505"/>
      <c r="BB206" s="505"/>
      <c r="BC206" s="505"/>
      <c r="BD206" s="505"/>
    </row>
    <row r="207" spans="1:256" s="506" customFormat="1" ht="67.5" customHeight="1">
      <c r="A207" s="679"/>
      <c r="B207" s="680"/>
      <c r="C207" s="863"/>
      <c r="D207" s="388" t="s">
        <v>195</v>
      </c>
      <c r="E207" s="46"/>
      <c r="F207" s="682"/>
      <c r="G207" s="683"/>
      <c r="H207" s="84"/>
      <c r="I207" s="533"/>
      <c r="J207" s="857"/>
      <c r="K207" s="857"/>
      <c r="L207" s="857"/>
      <c r="M207" s="857"/>
      <c r="N207" s="857"/>
      <c r="O207" s="857"/>
      <c r="P207" s="857"/>
      <c r="Q207" s="857"/>
      <c r="R207" s="513"/>
      <c r="S207" s="513"/>
      <c r="T207" s="513"/>
      <c r="U207" s="509"/>
      <c r="V207" s="509"/>
      <c r="W207" s="509"/>
      <c r="X207" s="509"/>
      <c r="Y207" s="509"/>
      <c r="Z207" s="509"/>
      <c r="AA207" s="509"/>
      <c r="AB207" s="509"/>
      <c r="AC207" s="509"/>
      <c r="AD207" s="509"/>
      <c r="AE207" s="509"/>
      <c r="AF207" s="509"/>
      <c r="AG207" s="509"/>
      <c r="AH207" s="509"/>
      <c r="AI207" s="509"/>
      <c r="AJ207" s="509"/>
      <c r="AK207" s="509"/>
      <c r="AL207" s="509"/>
      <c r="AM207" s="509"/>
      <c r="AN207" s="509"/>
      <c r="AO207" s="509"/>
      <c r="AP207" s="509"/>
      <c r="AQ207" s="509"/>
      <c r="AR207" s="509"/>
      <c r="AS207" s="509"/>
      <c r="AT207" s="509"/>
      <c r="AU207" s="509"/>
      <c r="AV207" s="509"/>
      <c r="AW207" s="509"/>
      <c r="AX207" s="509"/>
      <c r="AY207" s="513"/>
      <c r="AZ207" s="513"/>
      <c r="BA207" s="513"/>
      <c r="BB207" s="513"/>
      <c r="BC207" s="513"/>
      <c r="BD207" s="513"/>
      <c r="BE207" s="77"/>
      <c r="BF207" s="77"/>
      <c r="BG207" s="77"/>
      <c r="BH207" s="77"/>
      <c r="BI207" s="77"/>
      <c r="BJ207" s="77"/>
      <c r="BK207" s="77"/>
      <c r="BL207" s="77"/>
      <c r="BM207" s="77"/>
      <c r="BN207" s="77"/>
      <c r="BO207" s="77"/>
      <c r="BP207" s="77"/>
      <c r="BQ207" s="77"/>
      <c r="BR207" s="77"/>
      <c r="BS207" s="77"/>
      <c r="BT207" s="77"/>
      <c r="BU207" s="77"/>
      <c r="BV207" s="77"/>
      <c r="BW207" s="77"/>
      <c r="BX207" s="77"/>
      <c r="BY207" s="77"/>
      <c r="BZ207" s="77"/>
      <c r="CA207" s="77"/>
      <c r="CB207" s="77"/>
      <c r="CC207" s="77"/>
      <c r="CD207" s="77"/>
      <c r="CE207" s="77"/>
      <c r="CF207" s="77"/>
      <c r="CG207" s="77"/>
      <c r="CH207" s="77"/>
      <c r="CI207" s="77"/>
      <c r="CJ207" s="77"/>
      <c r="CK207" s="77"/>
      <c r="CL207" s="77"/>
      <c r="CM207" s="77"/>
      <c r="CN207" s="77"/>
      <c r="CO207" s="77"/>
      <c r="CP207" s="77"/>
      <c r="CQ207" s="77"/>
      <c r="CR207" s="77"/>
      <c r="CS207" s="77"/>
      <c r="CT207" s="77"/>
      <c r="CU207" s="77"/>
      <c r="CV207" s="77"/>
      <c r="CW207" s="77"/>
      <c r="CX207" s="77"/>
      <c r="CY207" s="77"/>
      <c r="CZ207" s="77"/>
      <c r="DA207" s="77"/>
      <c r="DB207" s="77"/>
      <c r="DC207" s="77"/>
      <c r="DD207" s="77"/>
      <c r="DE207" s="77"/>
      <c r="DF207" s="77"/>
      <c r="DG207" s="77"/>
      <c r="DH207" s="77"/>
      <c r="DI207" s="77"/>
      <c r="DJ207" s="77"/>
      <c r="DK207" s="77"/>
      <c r="DL207" s="77"/>
      <c r="DM207" s="77"/>
      <c r="DN207" s="77"/>
      <c r="DO207" s="77"/>
      <c r="DP207" s="77"/>
      <c r="DQ207" s="77"/>
      <c r="DR207" s="77"/>
      <c r="DS207" s="77"/>
      <c r="DT207" s="77"/>
      <c r="DU207" s="77"/>
      <c r="DV207" s="77"/>
      <c r="DW207" s="77"/>
      <c r="DX207" s="77"/>
      <c r="DY207" s="77"/>
      <c r="DZ207" s="77"/>
      <c r="EA207" s="77"/>
      <c r="EB207" s="77"/>
      <c r="EC207" s="77"/>
      <c r="ED207" s="77"/>
      <c r="EE207" s="77"/>
      <c r="EF207" s="77"/>
      <c r="EG207" s="77"/>
      <c r="EH207" s="77"/>
      <c r="EI207" s="77"/>
      <c r="EJ207" s="77"/>
      <c r="EK207" s="77"/>
      <c r="EL207" s="77"/>
      <c r="EM207" s="77"/>
      <c r="EN207" s="77"/>
      <c r="EO207" s="77"/>
      <c r="EP207" s="77"/>
      <c r="EQ207" s="77"/>
      <c r="ER207" s="77"/>
      <c r="ES207" s="77"/>
      <c r="ET207" s="77"/>
      <c r="EU207" s="77"/>
      <c r="EV207" s="77"/>
      <c r="EW207" s="77"/>
      <c r="EX207" s="77"/>
      <c r="EY207" s="77"/>
      <c r="EZ207" s="77"/>
      <c r="FA207" s="77"/>
      <c r="FB207" s="77"/>
      <c r="FC207" s="77"/>
      <c r="FD207" s="77"/>
      <c r="FE207" s="77"/>
      <c r="FF207" s="77"/>
      <c r="FG207" s="77"/>
      <c r="FH207" s="77"/>
      <c r="FI207" s="77"/>
      <c r="FJ207" s="77"/>
      <c r="FK207" s="77"/>
      <c r="FL207" s="77"/>
      <c r="FM207" s="77"/>
      <c r="FN207" s="77"/>
      <c r="FO207" s="77"/>
      <c r="FP207" s="77"/>
      <c r="FQ207" s="77"/>
      <c r="FR207" s="77"/>
      <c r="FS207" s="77"/>
      <c r="FT207" s="77"/>
      <c r="FU207" s="77"/>
      <c r="FV207" s="77"/>
      <c r="FW207" s="77"/>
      <c r="FX207" s="77"/>
      <c r="FY207" s="77"/>
      <c r="FZ207" s="77"/>
      <c r="GA207" s="77"/>
      <c r="GB207" s="77"/>
      <c r="GC207" s="77"/>
      <c r="GD207" s="77"/>
      <c r="GE207" s="77"/>
      <c r="GF207" s="77"/>
      <c r="GG207" s="77"/>
      <c r="GH207" s="77"/>
      <c r="GI207" s="77"/>
      <c r="GJ207" s="77"/>
      <c r="GK207" s="77"/>
      <c r="GL207" s="77"/>
      <c r="GM207" s="77"/>
      <c r="GN207" s="77"/>
      <c r="GO207" s="77"/>
      <c r="GP207" s="77"/>
      <c r="GQ207" s="77"/>
      <c r="GR207" s="77"/>
      <c r="GS207" s="77"/>
      <c r="GT207" s="77"/>
      <c r="GU207" s="77"/>
      <c r="GV207" s="77"/>
      <c r="GW207" s="77"/>
      <c r="GX207" s="77"/>
      <c r="GY207" s="77"/>
      <c r="GZ207" s="77"/>
      <c r="HA207" s="77"/>
      <c r="HB207" s="77"/>
      <c r="HC207" s="77"/>
      <c r="HD207" s="77"/>
      <c r="HE207" s="77"/>
      <c r="HF207" s="77"/>
      <c r="HG207" s="77"/>
      <c r="HH207" s="77"/>
      <c r="HI207" s="77"/>
      <c r="HJ207" s="77"/>
      <c r="HK207" s="77"/>
      <c r="HL207" s="77"/>
      <c r="HM207" s="77"/>
      <c r="HN207" s="77"/>
      <c r="HO207" s="77"/>
      <c r="HP207" s="77"/>
      <c r="HQ207" s="77"/>
      <c r="HR207" s="77"/>
      <c r="HS207" s="77"/>
      <c r="HT207" s="77"/>
      <c r="HU207" s="77"/>
      <c r="HV207" s="77"/>
      <c r="HW207" s="77"/>
      <c r="HX207" s="77"/>
      <c r="HY207" s="77"/>
      <c r="HZ207" s="77"/>
      <c r="IA207" s="77"/>
      <c r="IB207" s="77"/>
      <c r="IC207" s="77"/>
      <c r="ID207" s="77"/>
      <c r="IE207" s="77"/>
      <c r="IF207" s="77"/>
      <c r="IG207" s="77"/>
      <c r="IH207" s="77"/>
      <c r="II207" s="77"/>
      <c r="IJ207" s="77"/>
      <c r="IK207" s="77"/>
      <c r="IL207" s="77"/>
      <c r="IM207" s="77"/>
      <c r="IN207" s="77"/>
      <c r="IO207" s="77"/>
      <c r="IP207" s="77"/>
      <c r="IQ207" s="77"/>
      <c r="IR207" s="77"/>
      <c r="IS207" s="77"/>
      <c r="IT207" s="77"/>
      <c r="IU207" s="77"/>
      <c r="IV207" s="77"/>
    </row>
    <row r="208" spans="1:256" ht="21" customHeight="1">
      <c r="A208" s="961"/>
      <c r="B208" s="962"/>
      <c r="C208" s="962"/>
      <c r="D208" s="962" t="s">
        <v>18</v>
      </c>
      <c r="E208" s="962"/>
      <c r="F208" s="963"/>
      <c r="G208" s="964"/>
      <c r="H208" s="964">
        <f>H181+H9</f>
        <v>0</v>
      </c>
      <c r="J208" s="452"/>
      <c r="K208" s="452"/>
      <c r="L208" s="452"/>
      <c r="M208" s="452"/>
      <c r="N208" s="452"/>
      <c r="O208" s="452"/>
      <c r="P208" s="452"/>
      <c r="Q208" s="452"/>
      <c r="R208" s="452"/>
      <c r="S208" s="452"/>
      <c r="T208" s="452"/>
      <c r="U208" s="452"/>
      <c r="V208" s="452"/>
      <c r="W208" s="452"/>
      <c r="X208" s="452"/>
      <c r="Y208" s="452"/>
      <c r="Z208" s="452"/>
      <c r="AA208" s="452"/>
      <c r="AB208" s="452"/>
      <c r="AC208" s="452"/>
      <c r="AD208" s="452"/>
      <c r="AE208" s="452"/>
      <c r="AF208" s="452"/>
      <c r="AG208" s="452"/>
      <c r="AH208" s="452"/>
      <c r="AI208" s="452"/>
      <c r="AJ208" s="452"/>
      <c r="AK208" s="452"/>
      <c r="AL208" s="452"/>
      <c r="AM208" s="452"/>
      <c r="AN208" s="452"/>
      <c r="AO208" s="452"/>
      <c r="AP208" s="452"/>
      <c r="AQ208" s="452"/>
      <c r="AR208" s="452"/>
      <c r="AS208" s="452"/>
      <c r="AT208" s="452"/>
      <c r="AU208" s="452"/>
      <c r="AV208" s="452"/>
      <c r="AW208" s="452"/>
      <c r="AX208" s="452"/>
      <c r="AY208" s="313"/>
      <c r="AZ208" s="313"/>
      <c r="BA208" s="313"/>
      <c r="BB208" s="313"/>
      <c r="BC208" s="313"/>
      <c r="BD208" s="313"/>
    </row>
    <row r="209" spans="1:56" ht="12" customHeight="1">
      <c r="J209" s="552"/>
      <c r="K209" s="505"/>
      <c r="L209" s="505"/>
      <c r="M209" s="505"/>
      <c r="N209" s="505"/>
      <c r="O209" s="505"/>
      <c r="P209" s="505"/>
      <c r="Q209" s="505"/>
      <c r="R209" s="505"/>
      <c r="S209" s="505"/>
      <c r="T209" s="505"/>
      <c r="U209" s="505"/>
      <c r="V209" s="505"/>
      <c r="W209" s="505"/>
      <c r="X209" s="505"/>
      <c r="Y209" s="505"/>
      <c r="Z209" s="505"/>
      <c r="AA209" s="505"/>
      <c r="AB209" s="505"/>
      <c r="AC209" s="505"/>
      <c r="AD209" s="505"/>
      <c r="AE209" s="505"/>
      <c r="AF209" s="505"/>
      <c r="AG209" s="505"/>
      <c r="AH209" s="505"/>
      <c r="AI209" s="505"/>
      <c r="AJ209" s="505"/>
      <c r="AK209" s="505"/>
      <c r="AL209" s="505"/>
      <c r="AM209" s="505"/>
      <c r="AN209" s="505"/>
      <c r="AO209" s="505"/>
      <c r="AP209" s="505"/>
      <c r="AQ209" s="505"/>
      <c r="AR209" s="505"/>
      <c r="AS209" s="505"/>
      <c r="AT209" s="505"/>
      <c r="AU209" s="505"/>
      <c r="AV209" s="505"/>
      <c r="AW209" s="505"/>
      <c r="AX209" s="505"/>
      <c r="AY209" s="313"/>
      <c r="AZ209" s="313"/>
      <c r="BA209" s="313"/>
      <c r="BB209" s="313"/>
      <c r="BC209" s="313"/>
      <c r="BD209" s="313"/>
    </row>
    <row r="210" spans="1:56" ht="13.5" customHeight="1">
      <c r="A210" s="969" t="s">
        <v>88</v>
      </c>
      <c r="B210" s="970"/>
      <c r="C210" s="971"/>
      <c r="D210" s="972" t="s">
        <v>515</v>
      </c>
      <c r="E210" s="973"/>
      <c r="F210" s="974"/>
      <c r="G210" s="975"/>
      <c r="H210" s="976">
        <f>H208</f>
        <v>0</v>
      </c>
      <c r="J210" s="505"/>
      <c r="K210" s="505"/>
      <c r="L210" s="505"/>
      <c r="M210" s="505"/>
      <c r="N210" s="505"/>
      <c r="O210" s="505"/>
      <c r="P210" s="505"/>
      <c r="Q210" s="505"/>
      <c r="R210" s="505"/>
      <c r="S210" s="505"/>
      <c r="T210" s="505"/>
      <c r="U210" s="505"/>
      <c r="V210" s="505"/>
      <c r="W210" s="505"/>
      <c r="X210" s="505"/>
      <c r="Y210" s="505"/>
      <c r="Z210" s="505"/>
      <c r="AA210" s="505"/>
      <c r="AB210" s="505"/>
      <c r="AC210" s="505"/>
      <c r="AD210" s="505"/>
      <c r="AE210" s="505"/>
      <c r="AF210" s="505"/>
      <c r="AG210" s="505"/>
      <c r="AH210" s="505"/>
      <c r="AI210" s="505"/>
      <c r="AJ210" s="505"/>
      <c r="AK210" s="505"/>
      <c r="AL210" s="505"/>
      <c r="AM210" s="505"/>
      <c r="AN210" s="505"/>
      <c r="AO210" s="505"/>
      <c r="AP210" s="505"/>
      <c r="AQ210" s="505"/>
      <c r="AR210" s="505"/>
      <c r="AS210" s="505"/>
      <c r="AT210" s="505"/>
      <c r="AU210" s="505"/>
      <c r="AV210" s="505"/>
      <c r="AW210" s="505"/>
      <c r="AX210" s="505"/>
      <c r="AY210" s="313"/>
      <c r="AZ210" s="313"/>
      <c r="BA210" s="313"/>
      <c r="BB210" s="313"/>
    </row>
    <row r="211" spans="1:56" ht="13.5" customHeight="1">
      <c r="A211" s="977"/>
      <c r="B211" s="978"/>
      <c r="C211" s="978"/>
      <c r="D211" s="979"/>
      <c r="E211" s="980"/>
      <c r="F211" s="981"/>
      <c r="G211" s="982"/>
      <c r="H211" s="983"/>
      <c r="J211" s="946"/>
      <c r="K211" s="946"/>
      <c r="L211" s="946"/>
      <c r="M211" s="946"/>
      <c r="N211" s="946"/>
      <c r="O211" s="946"/>
      <c r="P211" s="946"/>
      <c r="Q211" s="946"/>
      <c r="R211" s="946"/>
      <c r="S211" s="946"/>
      <c r="T211" s="946"/>
      <c r="U211" s="946"/>
      <c r="V211" s="946"/>
      <c r="W211" s="946"/>
      <c r="X211" s="946"/>
      <c r="Y211" s="946"/>
      <c r="Z211" s="946"/>
      <c r="AA211" s="946"/>
      <c r="AB211" s="946"/>
      <c r="AC211" s="946"/>
      <c r="AD211" s="946"/>
      <c r="AE211" s="946"/>
      <c r="AF211" s="946"/>
      <c r="AG211" s="946"/>
      <c r="AH211" s="946"/>
      <c r="AI211" s="946"/>
      <c r="AJ211" s="946"/>
      <c r="AK211" s="946"/>
      <c r="AL211" s="946"/>
      <c r="AM211" s="946"/>
      <c r="AN211" s="946"/>
      <c r="AO211" s="946"/>
      <c r="AP211" s="946"/>
      <c r="AQ211" s="946"/>
      <c r="AR211" s="946"/>
      <c r="AS211" s="946"/>
      <c r="AT211" s="946"/>
      <c r="AU211" s="946"/>
      <c r="AV211" s="946"/>
      <c r="AW211" s="946"/>
      <c r="AX211" s="946"/>
      <c r="AY211" s="313"/>
      <c r="AZ211" s="313"/>
      <c r="BA211" s="313"/>
      <c r="BB211" s="313"/>
    </row>
    <row r="212" spans="1:56" s="307" customFormat="1" ht="15">
      <c r="A212" s="307" t="s">
        <v>22</v>
      </c>
      <c r="J212" s="946"/>
      <c r="K212" s="946"/>
      <c r="L212" s="946"/>
      <c r="M212" s="946"/>
      <c r="N212" s="946"/>
      <c r="O212" s="946"/>
      <c r="P212" s="946"/>
      <c r="Q212" s="946"/>
      <c r="R212" s="946"/>
      <c r="S212" s="946"/>
      <c r="T212" s="946"/>
      <c r="U212" s="946"/>
      <c r="V212" s="946"/>
      <c r="W212" s="946"/>
      <c r="X212" s="946"/>
      <c r="Y212" s="946"/>
      <c r="Z212" s="946"/>
      <c r="AA212" s="946"/>
      <c r="AB212" s="946"/>
      <c r="AC212" s="946"/>
      <c r="AD212" s="946"/>
      <c r="AE212" s="946"/>
      <c r="AF212" s="946"/>
      <c r="AG212" s="946"/>
      <c r="AH212" s="946"/>
      <c r="AI212" s="946"/>
      <c r="AJ212" s="946"/>
      <c r="AK212" s="946"/>
      <c r="AL212" s="946"/>
      <c r="AM212" s="946"/>
      <c r="AN212" s="946"/>
      <c r="AO212" s="946"/>
      <c r="AP212" s="946"/>
      <c r="AQ212" s="946"/>
      <c r="AR212" s="946"/>
      <c r="AS212" s="946"/>
      <c r="AT212" s="946"/>
      <c r="AU212" s="946"/>
      <c r="AV212" s="946"/>
      <c r="AW212" s="946"/>
      <c r="AX212" s="946"/>
      <c r="AY212" s="69"/>
      <c r="AZ212" s="69"/>
      <c r="BA212" s="69"/>
      <c r="BB212" s="69"/>
    </row>
    <row r="213" spans="1:56" s="307" customFormat="1" ht="23.45" customHeight="1">
      <c r="A213" s="727" t="s">
        <v>89</v>
      </c>
      <c r="B213" s="728"/>
      <c r="C213" s="728"/>
      <c r="D213" s="728"/>
      <c r="E213" s="728"/>
      <c r="F213" s="728"/>
      <c r="G213" s="728"/>
      <c r="J213" s="948"/>
      <c r="K213" s="950"/>
      <c r="L213" s="951"/>
      <c r="M213" s="951"/>
      <c r="N213" s="951"/>
      <c r="O213" s="951"/>
      <c r="P213" s="949"/>
      <c r="Q213" s="951"/>
      <c r="R213" s="951"/>
      <c r="S213" s="505"/>
      <c r="T213" s="505"/>
      <c r="U213" s="505"/>
      <c r="V213" s="505"/>
      <c r="W213" s="505"/>
      <c r="X213" s="505"/>
      <c r="Y213" s="505"/>
      <c r="Z213" s="505"/>
      <c r="AA213" s="505"/>
      <c r="AB213" s="505"/>
      <c r="AC213" s="505"/>
      <c r="AD213" s="505"/>
      <c r="AE213" s="505"/>
      <c r="AF213" s="505"/>
      <c r="AG213" s="505"/>
      <c r="AH213" s="505"/>
      <c r="AI213" s="505"/>
      <c r="AJ213" s="505"/>
      <c r="AK213" s="505"/>
      <c r="AL213" s="505"/>
      <c r="AM213" s="505"/>
      <c r="AN213" s="505"/>
      <c r="AO213" s="505"/>
      <c r="AP213" s="505"/>
      <c r="AQ213" s="505"/>
      <c r="AR213" s="505"/>
      <c r="AS213" s="505"/>
      <c r="AT213" s="505"/>
      <c r="AU213" s="505"/>
      <c r="AV213" s="505"/>
      <c r="AW213" s="505"/>
      <c r="AX213" s="505"/>
      <c r="AY213" s="69"/>
      <c r="AZ213" s="69"/>
      <c r="BA213" s="69"/>
      <c r="BB213" s="69"/>
    </row>
    <row r="214" spans="1:56" s="307" customFormat="1" ht="93.75" customHeight="1">
      <c r="A214" s="727" t="s">
        <v>90</v>
      </c>
      <c r="B214" s="729"/>
      <c r="C214" s="729"/>
      <c r="D214" s="729"/>
      <c r="E214" s="729"/>
      <c r="F214" s="729"/>
      <c r="G214" s="729"/>
      <c r="J214" s="952"/>
      <c r="K214" s="505"/>
      <c r="L214" s="685"/>
      <c r="M214" s="505"/>
      <c r="N214" s="505"/>
      <c r="O214" s="505"/>
      <c r="P214" s="505"/>
      <c r="Q214" s="505"/>
      <c r="R214" s="505"/>
      <c r="S214" s="505"/>
      <c r="T214" s="505"/>
      <c r="U214" s="505"/>
      <c r="V214" s="505"/>
      <c r="W214" s="505"/>
      <c r="X214" s="505"/>
      <c r="Y214" s="505"/>
      <c r="Z214" s="505"/>
      <c r="AA214" s="505"/>
      <c r="AB214" s="505"/>
      <c r="AC214" s="505"/>
      <c r="AD214" s="505"/>
      <c r="AE214" s="505"/>
      <c r="AF214" s="505"/>
      <c r="AG214" s="505"/>
      <c r="AH214" s="505"/>
      <c r="AI214" s="505"/>
      <c r="AJ214" s="505"/>
      <c r="AK214" s="505"/>
      <c r="AL214" s="505"/>
      <c r="AM214" s="505"/>
      <c r="AN214" s="505"/>
      <c r="AO214" s="505"/>
      <c r="AP214" s="505"/>
      <c r="AQ214" s="505"/>
      <c r="AR214" s="505"/>
      <c r="AS214" s="505"/>
      <c r="AT214" s="505"/>
      <c r="AU214" s="505"/>
      <c r="AV214" s="505"/>
      <c r="AW214" s="505"/>
      <c r="AX214" s="505"/>
      <c r="AY214" s="69"/>
      <c r="AZ214" s="69"/>
      <c r="BA214" s="69"/>
      <c r="BB214" s="69"/>
    </row>
    <row r="215" spans="1:56" s="496" customFormat="1" ht="13.5" customHeight="1">
      <c r="A215" s="727" t="s">
        <v>69</v>
      </c>
      <c r="B215" s="728"/>
      <c r="C215" s="728"/>
      <c r="D215" s="728"/>
      <c r="E215" s="728"/>
      <c r="F215" s="728"/>
      <c r="G215" s="728"/>
      <c r="H215" s="730"/>
      <c r="I215" s="730"/>
      <c r="J215" s="857"/>
      <c r="K215" s="857"/>
      <c r="L215" s="857"/>
      <c r="M215" s="857"/>
      <c r="N215" s="857"/>
      <c r="O215" s="857"/>
      <c r="P215" s="857"/>
      <c r="Q215" s="857"/>
      <c r="R215" s="513"/>
      <c r="S215" s="513"/>
      <c r="T215" s="513"/>
      <c r="U215" s="513"/>
      <c r="V215" s="513"/>
      <c r="W215" s="513"/>
      <c r="X215" s="513"/>
      <c r="Y215" s="513"/>
      <c r="Z215" s="513"/>
      <c r="AA215" s="513"/>
      <c r="AB215" s="513"/>
      <c r="AC215" s="513"/>
      <c r="AD215" s="513"/>
      <c r="AE215" s="513"/>
      <c r="AF215" s="513"/>
      <c r="AG215" s="513"/>
      <c r="AH215" s="513"/>
      <c r="AI215" s="513"/>
      <c r="AJ215" s="513"/>
      <c r="AK215" s="513"/>
      <c r="AL215" s="513"/>
      <c r="AM215" s="513"/>
      <c r="AN215" s="513"/>
      <c r="AO215" s="513"/>
      <c r="AP215" s="513"/>
      <c r="AQ215" s="513"/>
      <c r="AR215" s="513"/>
      <c r="AS215" s="513"/>
      <c r="AT215" s="513"/>
      <c r="AU215" s="513"/>
      <c r="AV215" s="513"/>
      <c r="AW215" s="513"/>
      <c r="AX215" s="513"/>
      <c r="AY215" s="495"/>
      <c r="AZ215" s="495"/>
      <c r="BA215" s="495"/>
      <c r="BB215" s="495"/>
    </row>
    <row r="216" spans="1:56" s="496" customFormat="1" ht="13.5" customHeight="1">
      <c r="A216" s="727" t="s">
        <v>70</v>
      </c>
      <c r="B216" s="728"/>
      <c r="C216" s="728"/>
      <c r="D216" s="728"/>
      <c r="E216" s="728"/>
      <c r="F216" s="728"/>
      <c r="G216" s="728"/>
      <c r="H216" s="730"/>
      <c r="I216" s="730"/>
      <c r="J216" s="661"/>
      <c r="K216" s="661"/>
      <c r="L216" s="661"/>
      <c r="M216" s="661"/>
      <c r="N216" s="661"/>
      <c r="O216" s="661"/>
      <c r="P216" s="661"/>
      <c r="Q216" s="661"/>
      <c r="R216" s="505"/>
      <c r="S216" s="505"/>
      <c r="T216" s="505"/>
      <c r="U216" s="949"/>
      <c r="V216" s="505"/>
      <c r="W216" s="505"/>
      <c r="X216" s="505"/>
      <c r="Y216" s="505"/>
      <c r="Z216" s="505"/>
      <c r="AA216" s="505"/>
      <c r="AB216" s="505"/>
      <c r="AC216" s="505"/>
      <c r="AD216" s="505"/>
      <c r="AE216" s="505"/>
      <c r="AF216" s="505"/>
      <c r="AG216" s="505"/>
      <c r="AH216" s="505"/>
      <c r="AI216" s="505"/>
      <c r="AJ216" s="505"/>
      <c r="AK216" s="505"/>
      <c r="AL216" s="505"/>
      <c r="AM216" s="505"/>
      <c r="AN216" s="505"/>
      <c r="AO216" s="505"/>
      <c r="AP216" s="505"/>
      <c r="AQ216" s="505"/>
      <c r="AR216" s="505"/>
      <c r="AS216" s="505"/>
      <c r="AT216" s="505"/>
      <c r="AU216" s="505"/>
      <c r="AV216" s="505"/>
      <c r="AW216" s="505"/>
      <c r="AX216" s="505"/>
      <c r="AY216" s="495"/>
      <c r="AZ216" s="495"/>
      <c r="BA216" s="495"/>
      <c r="BB216" s="495"/>
    </row>
    <row r="217" spans="1:56" s="496" customFormat="1" ht="47.25" customHeight="1">
      <c r="A217" s="497" t="s">
        <v>729</v>
      </c>
      <c r="B217" s="497"/>
      <c r="C217" s="497"/>
      <c r="D217" s="497"/>
      <c r="E217" s="497"/>
      <c r="F217" s="497"/>
      <c r="G217" s="497"/>
      <c r="H217" s="730"/>
      <c r="I217" s="730"/>
      <c r="J217" s="952"/>
      <c r="K217" s="505"/>
      <c r="L217" s="685"/>
      <c r="M217" s="505"/>
      <c r="N217" s="505"/>
      <c r="O217" s="505"/>
      <c r="P217" s="505"/>
      <c r="Q217" s="505"/>
      <c r="R217" s="505"/>
      <c r="S217" s="505"/>
      <c r="T217" s="505"/>
      <c r="U217" s="505"/>
      <c r="V217" s="505"/>
      <c r="W217" s="505"/>
      <c r="X217" s="505"/>
      <c r="Y217" s="505"/>
      <c r="Z217" s="505"/>
      <c r="AA217" s="505"/>
      <c r="AB217" s="505"/>
      <c r="AC217" s="505"/>
      <c r="AD217" s="505"/>
      <c r="AE217" s="505"/>
      <c r="AF217" s="505"/>
      <c r="AG217" s="505"/>
      <c r="AH217" s="505"/>
      <c r="AI217" s="505"/>
      <c r="AJ217" s="505"/>
      <c r="AK217" s="505"/>
      <c r="AL217" s="505"/>
      <c r="AM217" s="505"/>
      <c r="AN217" s="505"/>
      <c r="AO217" s="505"/>
      <c r="AP217" s="505"/>
      <c r="AQ217" s="505"/>
      <c r="AR217" s="505"/>
      <c r="AS217" s="505"/>
      <c r="AT217" s="505"/>
      <c r="AU217" s="505"/>
      <c r="AV217" s="505"/>
      <c r="AW217" s="505"/>
      <c r="AX217" s="505"/>
      <c r="AY217" s="495"/>
      <c r="AZ217" s="495"/>
      <c r="BA217" s="495"/>
      <c r="BB217" s="495"/>
    </row>
    <row r="218" spans="1:56" ht="12" customHeight="1">
      <c r="J218" s="857"/>
      <c r="K218" s="857"/>
      <c r="L218" s="857"/>
      <c r="M218" s="857"/>
      <c r="N218" s="857"/>
      <c r="O218" s="857"/>
      <c r="P218" s="857"/>
      <c r="Q218" s="857"/>
      <c r="R218" s="513"/>
      <c r="S218" s="513"/>
      <c r="T218" s="513"/>
      <c r="U218" s="513"/>
      <c r="V218" s="513"/>
      <c r="W218" s="513"/>
      <c r="X218" s="513"/>
      <c r="Y218" s="513"/>
      <c r="Z218" s="513"/>
      <c r="AA218" s="513"/>
      <c r="AB218" s="513"/>
      <c r="AC218" s="513"/>
      <c r="AD218" s="513"/>
      <c r="AE218" s="513"/>
      <c r="AF218" s="513"/>
      <c r="AG218" s="513"/>
      <c r="AH218" s="513"/>
      <c r="AI218" s="513"/>
      <c r="AJ218" s="513"/>
      <c r="AK218" s="513"/>
      <c r="AL218" s="513"/>
      <c r="AM218" s="513"/>
      <c r="AN218" s="513"/>
      <c r="AO218" s="513"/>
      <c r="AP218" s="513"/>
      <c r="AQ218" s="513"/>
      <c r="AR218" s="513"/>
      <c r="AS218" s="513"/>
      <c r="AT218" s="513"/>
      <c r="AU218" s="513"/>
      <c r="AV218" s="513"/>
      <c r="AW218" s="513"/>
      <c r="AX218" s="513"/>
      <c r="AY218" s="313"/>
      <c r="AZ218" s="313"/>
      <c r="BA218" s="313"/>
      <c r="BB218" s="313"/>
    </row>
    <row r="219" spans="1:56" ht="12" customHeight="1">
      <c r="J219" s="661"/>
      <c r="K219" s="661"/>
      <c r="L219" s="661"/>
      <c r="M219" s="661"/>
      <c r="N219" s="661"/>
      <c r="O219" s="661"/>
      <c r="P219" s="661"/>
      <c r="Q219" s="661"/>
      <c r="R219" s="505"/>
      <c r="S219" s="505"/>
      <c r="T219" s="949"/>
      <c r="U219" s="505"/>
      <c r="V219" s="505"/>
      <c r="W219" s="505"/>
      <c r="X219" s="505"/>
      <c r="Y219" s="505"/>
      <c r="Z219" s="505"/>
      <c r="AA219" s="505"/>
      <c r="AB219" s="505"/>
      <c r="AC219" s="505"/>
      <c r="AD219" s="505"/>
      <c r="AE219" s="505"/>
      <c r="AF219" s="505"/>
      <c r="AG219" s="505"/>
      <c r="AH219" s="505"/>
      <c r="AI219" s="505"/>
      <c r="AJ219" s="505"/>
      <c r="AK219" s="505"/>
      <c r="AL219" s="505"/>
      <c r="AM219" s="505"/>
      <c r="AN219" s="505"/>
      <c r="AO219" s="505"/>
      <c r="AP219" s="505"/>
      <c r="AQ219" s="505"/>
      <c r="AR219" s="505"/>
      <c r="AS219" s="505"/>
      <c r="AT219" s="505"/>
      <c r="AU219" s="505"/>
      <c r="AV219" s="505"/>
      <c r="AW219" s="505"/>
      <c r="AX219" s="505"/>
      <c r="AY219" s="313"/>
      <c r="AZ219" s="313"/>
      <c r="BA219" s="313"/>
      <c r="BB219" s="313"/>
    </row>
    <row r="220" spans="1:56" ht="12" customHeight="1">
      <c r="J220" s="952"/>
      <c r="K220" s="505"/>
      <c r="L220" s="505"/>
      <c r="M220" s="505"/>
      <c r="N220" s="505"/>
      <c r="O220" s="505"/>
      <c r="P220" s="505"/>
      <c r="Q220" s="505"/>
      <c r="R220" s="505"/>
      <c r="S220" s="505"/>
      <c r="T220" s="949"/>
      <c r="U220" s="505"/>
      <c r="V220" s="505"/>
      <c r="W220" s="505"/>
      <c r="X220" s="505"/>
      <c r="Y220" s="505"/>
      <c r="Z220" s="505"/>
      <c r="AA220" s="505"/>
      <c r="AB220" s="505"/>
      <c r="AC220" s="505"/>
      <c r="AD220" s="505"/>
      <c r="AE220" s="505"/>
      <c r="AF220" s="505"/>
      <c r="AG220" s="505"/>
      <c r="AH220" s="505"/>
      <c r="AI220" s="505"/>
      <c r="AJ220" s="505"/>
      <c r="AK220" s="505"/>
      <c r="AL220" s="505"/>
      <c r="AM220" s="505"/>
      <c r="AN220" s="505"/>
      <c r="AO220" s="505"/>
      <c r="AP220" s="505"/>
      <c r="AQ220" s="505"/>
      <c r="AR220" s="505"/>
      <c r="AS220" s="505"/>
      <c r="AT220" s="505"/>
      <c r="AU220" s="505"/>
      <c r="AV220" s="505"/>
      <c r="AW220" s="505"/>
      <c r="AX220" s="505"/>
      <c r="AY220" s="313"/>
      <c r="AZ220" s="313"/>
      <c r="BA220" s="313"/>
      <c r="BB220" s="313"/>
    </row>
    <row r="221" spans="1:56" ht="12" customHeight="1">
      <c r="J221" s="857"/>
      <c r="K221" s="857"/>
      <c r="L221" s="857"/>
      <c r="M221" s="685"/>
      <c r="N221" s="857"/>
      <c r="O221" s="857"/>
      <c r="P221" s="857"/>
      <c r="Q221" s="857"/>
      <c r="R221" s="513"/>
      <c r="S221" s="513"/>
      <c r="T221" s="513"/>
      <c r="U221" s="513"/>
      <c r="V221" s="513"/>
      <c r="W221" s="513"/>
      <c r="X221" s="513"/>
      <c r="Y221" s="513"/>
      <c r="Z221" s="513"/>
      <c r="AA221" s="513"/>
      <c r="AB221" s="513"/>
      <c r="AC221" s="513"/>
      <c r="AD221" s="513"/>
      <c r="AE221" s="513"/>
      <c r="AF221" s="513"/>
      <c r="AG221" s="513"/>
      <c r="AH221" s="513"/>
      <c r="AI221" s="513"/>
      <c r="AJ221" s="513"/>
      <c r="AK221" s="513"/>
      <c r="AL221" s="513"/>
      <c r="AM221" s="513"/>
      <c r="AN221" s="513"/>
      <c r="AO221" s="513"/>
      <c r="AP221" s="513"/>
      <c r="AQ221" s="513"/>
      <c r="AR221" s="513"/>
      <c r="AS221" s="513"/>
      <c r="AT221" s="513"/>
      <c r="AU221" s="513"/>
      <c r="AV221" s="513"/>
      <c r="AW221" s="513"/>
      <c r="AX221" s="513"/>
      <c r="AY221" s="313"/>
      <c r="AZ221" s="313"/>
      <c r="BA221" s="313"/>
      <c r="BB221" s="313"/>
    </row>
    <row r="222" spans="1:56" ht="12" customHeight="1">
      <c r="J222" s="661"/>
      <c r="K222" s="661"/>
      <c r="L222" s="661"/>
      <c r="M222" s="661"/>
      <c r="N222" s="661"/>
      <c r="O222" s="661"/>
      <c r="P222" s="661"/>
      <c r="Q222" s="661"/>
      <c r="R222" s="505"/>
      <c r="S222" s="505"/>
      <c r="T222" s="949"/>
      <c r="U222" s="505"/>
      <c r="V222" s="505"/>
      <c r="W222" s="505"/>
      <c r="X222" s="505"/>
      <c r="Y222" s="505"/>
      <c r="Z222" s="505"/>
      <c r="AA222" s="505"/>
      <c r="AB222" s="505"/>
      <c r="AC222" s="505"/>
      <c r="AD222" s="505"/>
      <c r="AE222" s="505"/>
      <c r="AF222" s="505"/>
      <c r="AG222" s="505"/>
      <c r="AH222" s="505"/>
      <c r="AI222" s="505"/>
      <c r="AJ222" s="505"/>
      <c r="AK222" s="505"/>
      <c r="AL222" s="505"/>
      <c r="AM222" s="505"/>
      <c r="AN222" s="505"/>
      <c r="AO222" s="505"/>
      <c r="AP222" s="505"/>
      <c r="AQ222" s="505"/>
      <c r="AR222" s="505"/>
      <c r="AS222" s="505"/>
      <c r="AT222" s="505"/>
      <c r="AU222" s="505"/>
      <c r="AV222" s="505"/>
      <c r="AW222" s="505"/>
      <c r="AX222" s="505"/>
      <c r="AY222" s="313"/>
      <c r="AZ222" s="313"/>
      <c r="BA222" s="313"/>
      <c r="BB222" s="313"/>
    </row>
    <row r="223" spans="1:56" ht="12" customHeight="1">
      <c r="J223" s="952"/>
      <c r="K223" s="505"/>
      <c r="L223" s="505"/>
      <c r="M223" s="505"/>
      <c r="N223" s="505"/>
      <c r="O223" s="505"/>
      <c r="P223" s="505"/>
      <c r="Q223" s="505"/>
      <c r="R223" s="505"/>
      <c r="S223" s="505"/>
      <c r="T223" s="949"/>
      <c r="U223" s="505"/>
      <c r="V223" s="505"/>
      <c r="W223" s="505"/>
      <c r="X223" s="505"/>
      <c r="Y223" s="505"/>
      <c r="Z223" s="505"/>
      <c r="AA223" s="505"/>
      <c r="AB223" s="505"/>
      <c r="AC223" s="505"/>
      <c r="AD223" s="505"/>
      <c r="AE223" s="505"/>
      <c r="AF223" s="505"/>
      <c r="AG223" s="505"/>
      <c r="AH223" s="505"/>
      <c r="AI223" s="505"/>
      <c r="AJ223" s="505"/>
      <c r="AK223" s="505"/>
      <c r="AL223" s="505"/>
      <c r="AM223" s="505"/>
      <c r="AN223" s="505"/>
      <c r="AO223" s="505"/>
      <c r="AP223" s="505"/>
      <c r="AQ223" s="505"/>
      <c r="AR223" s="505"/>
      <c r="AS223" s="505"/>
      <c r="AT223" s="505"/>
      <c r="AU223" s="505"/>
      <c r="AV223" s="505"/>
      <c r="AW223" s="505"/>
      <c r="AX223" s="505"/>
      <c r="AY223" s="313"/>
      <c r="AZ223" s="313"/>
      <c r="BA223" s="313"/>
      <c r="BB223" s="313"/>
    </row>
    <row r="224" spans="1:56" ht="12" customHeight="1">
      <c r="J224" s="857"/>
      <c r="K224" s="857"/>
      <c r="L224" s="857"/>
      <c r="M224" s="685"/>
      <c r="N224" s="857"/>
      <c r="O224" s="857"/>
      <c r="P224" s="857"/>
      <c r="Q224" s="857"/>
      <c r="R224" s="513"/>
      <c r="S224" s="513"/>
      <c r="T224" s="513"/>
      <c r="U224" s="513"/>
      <c r="V224" s="513"/>
      <c r="W224" s="513"/>
      <c r="X224" s="513"/>
      <c r="Y224" s="513"/>
      <c r="Z224" s="513"/>
      <c r="AA224" s="513"/>
      <c r="AB224" s="513"/>
      <c r="AC224" s="513"/>
      <c r="AD224" s="513"/>
      <c r="AE224" s="513"/>
      <c r="AF224" s="513"/>
      <c r="AG224" s="513"/>
      <c r="AH224" s="513"/>
      <c r="AI224" s="513"/>
      <c r="AJ224" s="513"/>
      <c r="AK224" s="513"/>
      <c r="AL224" s="513"/>
      <c r="AM224" s="513"/>
      <c r="AN224" s="513"/>
      <c r="AO224" s="513"/>
      <c r="AP224" s="513"/>
      <c r="AQ224" s="513"/>
      <c r="AR224" s="513"/>
      <c r="AS224" s="513"/>
      <c r="AT224" s="513"/>
      <c r="AU224" s="513"/>
      <c r="AV224" s="513"/>
      <c r="AW224" s="513"/>
      <c r="AX224" s="513"/>
      <c r="AY224" s="313"/>
      <c r="AZ224" s="313"/>
      <c r="BA224" s="313"/>
      <c r="BB224" s="313"/>
    </row>
    <row r="225" spans="10:54" ht="12" customHeight="1">
      <c r="J225" s="948"/>
      <c r="K225" s="950"/>
      <c r="L225" s="951"/>
      <c r="M225" s="951"/>
      <c r="N225" s="951"/>
      <c r="O225" s="951"/>
      <c r="P225" s="949"/>
      <c r="Q225" s="951"/>
      <c r="R225" s="951"/>
      <c r="S225" s="505"/>
      <c r="T225" s="505"/>
      <c r="U225" s="505"/>
      <c r="V225" s="505"/>
      <c r="W225" s="505"/>
      <c r="X225" s="505"/>
      <c r="Y225" s="505"/>
      <c r="Z225" s="505"/>
      <c r="AA225" s="505"/>
      <c r="AB225" s="505"/>
      <c r="AC225" s="505"/>
      <c r="AD225" s="505"/>
      <c r="AE225" s="505"/>
      <c r="AF225" s="505"/>
      <c r="AG225" s="505"/>
      <c r="AH225" s="505"/>
      <c r="AI225" s="505"/>
      <c r="AJ225" s="505"/>
      <c r="AK225" s="505"/>
      <c r="AL225" s="505"/>
      <c r="AM225" s="505"/>
      <c r="AN225" s="505"/>
      <c r="AO225" s="505"/>
      <c r="AP225" s="505"/>
      <c r="AQ225" s="505"/>
      <c r="AR225" s="505"/>
      <c r="AS225" s="505"/>
      <c r="AT225" s="505"/>
      <c r="AU225" s="505"/>
      <c r="AV225" s="505"/>
      <c r="AW225" s="505"/>
      <c r="AX225" s="505"/>
      <c r="AY225" s="313"/>
      <c r="AZ225" s="313"/>
      <c r="BA225" s="313"/>
      <c r="BB225" s="313"/>
    </row>
    <row r="226" spans="10:54" ht="12" customHeight="1">
      <c r="J226" s="952"/>
      <c r="K226" s="505"/>
      <c r="L226" s="685"/>
      <c r="M226" s="505"/>
      <c r="N226" s="505"/>
      <c r="O226" s="505"/>
      <c r="P226" s="505"/>
      <c r="Q226" s="505"/>
      <c r="R226" s="505"/>
      <c r="S226" s="505"/>
      <c r="T226" s="505"/>
      <c r="U226" s="505"/>
      <c r="V226" s="505"/>
      <c r="W226" s="505"/>
      <c r="X226" s="505"/>
      <c r="Y226" s="505"/>
      <c r="Z226" s="505"/>
      <c r="AA226" s="505"/>
      <c r="AB226" s="505"/>
      <c r="AC226" s="505"/>
      <c r="AD226" s="505"/>
      <c r="AE226" s="505"/>
      <c r="AF226" s="505"/>
      <c r="AG226" s="505"/>
      <c r="AH226" s="505"/>
      <c r="AI226" s="505"/>
      <c r="AJ226" s="505"/>
      <c r="AK226" s="505"/>
      <c r="AL226" s="505"/>
      <c r="AM226" s="505"/>
      <c r="AN226" s="505"/>
      <c r="AO226" s="505"/>
      <c r="AP226" s="505"/>
      <c r="AQ226" s="505"/>
      <c r="AR226" s="505"/>
      <c r="AS226" s="505"/>
      <c r="AT226" s="505"/>
      <c r="AU226" s="505"/>
      <c r="AV226" s="505"/>
      <c r="AW226" s="505"/>
      <c r="AX226" s="505"/>
      <c r="AY226" s="313"/>
      <c r="AZ226" s="313"/>
      <c r="BA226" s="313"/>
      <c r="BB226" s="313"/>
    </row>
    <row r="227" spans="10:54" ht="12" customHeight="1">
      <c r="J227" s="952"/>
      <c r="K227" s="505"/>
      <c r="L227" s="685"/>
      <c r="M227" s="505"/>
      <c r="N227" s="505"/>
      <c r="O227" s="505"/>
      <c r="P227" s="505"/>
      <c r="Q227" s="505"/>
      <c r="R227" s="505"/>
      <c r="S227" s="505"/>
      <c r="T227" s="505"/>
      <c r="U227" s="505"/>
      <c r="V227" s="505"/>
      <c r="W227" s="505"/>
      <c r="X227" s="505"/>
      <c r="Y227" s="505"/>
      <c r="Z227" s="505"/>
      <c r="AA227" s="505"/>
      <c r="AB227" s="505"/>
      <c r="AC227" s="505"/>
      <c r="AD227" s="505"/>
      <c r="AE227" s="505"/>
      <c r="AF227" s="505"/>
      <c r="AG227" s="505"/>
      <c r="AH227" s="505"/>
      <c r="AI227" s="505"/>
      <c r="AJ227" s="505"/>
      <c r="AK227" s="505"/>
      <c r="AL227" s="505"/>
      <c r="AM227" s="505"/>
      <c r="AN227" s="505"/>
      <c r="AO227" s="505"/>
      <c r="AP227" s="505"/>
      <c r="AQ227" s="505"/>
      <c r="AR227" s="505"/>
      <c r="AS227" s="505"/>
      <c r="AT227" s="505"/>
      <c r="AU227" s="505"/>
      <c r="AV227" s="505"/>
      <c r="AW227" s="505"/>
      <c r="AX227" s="505"/>
      <c r="AY227" s="313"/>
      <c r="AZ227" s="313"/>
      <c r="BA227" s="313"/>
      <c r="BB227" s="313"/>
    </row>
    <row r="228" spans="10:54" ht="12" customHeight="1">
      <c r="J228" s="857"/>
      <c r="K228" s="857"/>
      <c r="L228" s="857"/>
      <c r="M228" s="857"/>
      <c r="N228" s="857"/>
      <c r="O228" s="857"/>
      <c r="P228" s="857"/>
      <c r="Q228" s="857"/>
      <c r="R228" s="513"/>
      <c r="S228" s="513"/>
      <c r="T228" s="513"/>
      <c r="U228" s="513"/>
      <c r="V228" s="513"/>
      <c r="W228" s="513"/>
      <c r="X228" s="513"/>
      <c r="Y228" s="513"/>
      <c r="Z228" s="513"/>
      <c r="AA228" s="513"/>
      <c r="AB228" s="513"/>
      <c r="AC228" s="513"/>
      <c r="AD228" s="513"/>
      <c r="AE228" s="513"/>
      <c r="AF228" s="513"/>
      <c r="AG228" s="513"/>
      <c r="AH228" s="513"/>
      <c r="AI228" s="513"/>
      <c r="AJ228" s="513"/>
      <c r="AK228" s="513"/>
      <c r="AL228" s="513"/>
      <c r="AM228" s="513"/>
      <c r="AN228" s="513"/>
      <c r="AO228" s="513"/>
      <c r="AP228" s="513"/>
      <c r="AQ228" s="513"/>
      <c r="AR228" s="513"/>
      <c r="AS228" s="513"/>
      <c r="AT228" s="513"/>
      <c r="AU228" s="513"/>
      <c r="AV228" s="513"/>
      <c r="AW228" s="513"/>
      <c r="AX228" s="513"/>
      <c r="AY228" s="313"/>
      <c r="AZ228" s="313"/>
      <c r="BA228" s="313"/>
      <c r="BB228" s="313"/>
    </row>
    <row r="229" spans="10:54" ht="12" customHeight="1">
      <c r="J229" s="984"/>
      <c r="K229" s="505"/>
      <c r="L229" s="825"/>
      <c r="M229" s="26"/>
      <c r="N229" s="26"/>
      <c r="O229" s="26"/>
      <c r="P229" s="26"/>
      <c r="Q229" s="26"/>
      <c r="R229" s="26"/>
      <c r="S229" s="505"/>
      <c r="T229" s="505"/>
      <c r="U229" s="505"/>
      <c r="V229" s="505"/>
      <c r="W229" s="505"/>
      <c r="X229" s="505"/>
      <c r="Y229" s="505"/>
      <c r="Z229" s="505"/>
      <c r="AA229" s="505"/>
      <c r="AB229" s="505"/>
      <c r="AC229" s="505"/>
      <c r="AD229" s="505"/>
      <c r="AE229" s="505"/>
      <c r="AF229" s="505"/>
      <c r="AG229" s="505"/>
      <c r="AH229" s="505"/>
      <c r="AI229" s="505"/>
      <c r="AJ229" s="505"/>
      <c r="AK229" s="505"/>
      <c r="AL229" s="505"/>
      <c r="AM229" s="505"/>
      <c r="AN229" s="505"/>
      <c r="AO229" s="505"/>
      <c r="AP229" s="505"/>
      <c r="AQ229" s="505"/>
      <c r="AR229" s="505"/>
      <c r="AS229" s="505"/>
      <c r="AT229" s="505"/>
      <c r="AU229" s="505"/>
      <c r="AV229" s="505"/>
      <c r="AW229" s="505"/>
      <c r="AX229" s="505"/>
      <c r="AY229" s="313"/>
      <c r="AZ229" s="313"/>
      <c r="BA229" s="313"/>
      <c r="BB229" s="313"/>
    </row>
    <row r="230" spans="10:54" ht="12" customHeight="1">
      <c r="J230" s="952"/>
      <c r="K230" s="505"/>
      <c r="L230" s="685"/>
      <c r="M230" s="505"/>
      <c r="N230" s="505"/>
      <c r="O230" s="505"/>
      <c r="P230" s="505"/>
      <c r="Q230" s="505"/>
      <c r="R230" s="505"/>
      <c r="S230" s="505"/>
      <c r="T230" s="505"/>
      <c r="U230" s="505"/>
      <c r="V230" s="505"/>
      <c r="W230" s="505"/>
      <c r="X230" s="505"/>
      <c r="Y230" s="505"/>
      <c r="Z230" s="505"/>
      <c r="AA230" s="505"/>
      <c r="AB230" s="505"/>
      <c r="AC230" s="505"/>
      <c r="AD230" s="505"/>
      <c r="AE230" s="505"/>
      <c r="AF230" s="505"/>
      <c r="AG230" s="505"/>
      <c r="AH230" s="505"/>
      <c r="AI230" s="505"/>
      <c r="AJ230" s="505"/>
      <c r="AK230" s="505"/>
      <c r="AL230" s="505"/>
      <c r="AM230" s="505"/>
      <c r="AN230" s="505"/>
      <c r="AO230" s="505"/>
      <c r="AP230" s="505"/>
      <c r="AQ230" s="505"/>
      <c r="AR230" s="505"/>
      <c r="AS230" s="505"/>
      <c r="AT230" s="505"/>
      <c r="AU230" s="505"/>
      <c r="AV230" s="505"/>
      <c r="AW230" s="505"/>
      <c r="AX230" s="505"/>
      <c r="AY230" s="313"/>
      <c r="AZ230" s="313"/>
      <c r="BA230" s="313"/>
      <c r="BB230" s="313"/>
    </row>
    <row r="231" spans="10:54" ht="12" customHeight="1">
      <c r="J231" s="952"/>
      <c r="K231" s="505"/>
      <c r="L231" s="685"/>
      <c r="M231" s="505"/>
      <c r="N231" s="505"/>
      <c r="O231" s="505"/>
      <c r="P231" s="505"/>
      <c r="Q231" s="505"/>
      <c r="R231" s="505"/>
      <c r="S231" s="505"/>
      <c r="T231" s="505"/>
      <c r="U231" s="505"/>
      <c r="V231" s="505"/>
      <c r="W231" s="505"/>
      <c r="X231" s="505"/>
      <c r="Y231" s="505"/>
      <c r="Z231" s="505"/>
      <c r="AA231" s="505"/>
      <c r="AB231" s="505"/>
      <c r="AC231" s="505"/>
      <c r="AD231" s="505"/>
      <c r="AE231" s="505"/>
      <c r="AF231" s="505"/>
      <c r="AG231" s="505"/>
      <c r="AH231" s="505"/>
      <c r="AI231" s="505"/>
      <c r="AJ231" s="505"/>
      <c r="AK231" s="505"/>
      <c r="AL231" s="505"/>
      <c r="AM231" s="505"/>
      <c r="AN231" s="505"/>
      <c r="AO231" s="505"/>
      <c r="AP231" s="505"/>
      <c r="AQ231" s="505"/>
      <c r="AR231" s="505"/>
      <c r="AS231" s="505"/>
      <c r="AT231" s="505"/>
      <c r="AU231" s="505"/>
      <c r="AV231" s="505"/>
      <c r="AW231" s="505"/>
      <c r="AX231" s="505"/>
      <c r="AY231" s="313"/>
      <c r="AZ231" s="313"/>
      <c r="BA231" s="313"/>
      <c r="BB231" s="313"/>
    </row>
    <row r="232" spans="10:54" ht="12" customHeight="1">
      <c r="J232" s="952"/>
      <c r="K232" s="505"/>
      <c r="L232" s="685"/>
      <c r="M232" s="505"/>
      <c r="N232" s="505"/>
      <c r="O232" s="505"/>
      <c r="P232" s="505"/>
      <c r="Q232" s="505"/>
      <c r="R232" s="505"/>
      <c r="S232" s="505"/>
      <c r="T232" s="505"/>
      <c r="U232" s="505"/>
      <c r="V232" s="505"/>
      <c r="W232" s="505"/>
      <c r="X232" s="505"/>
      <c r="Y232" s="505"/>
      <c r="Z232" s="505"/>
      <c r="AA232" s="505"/>
      <c r="AB232" s="505"/>
      <c r="AC232" s="505"/>
      <c r="AD232" s="505"/>
      <c r="AE232" s="505"/>
      <c r="AF232" s="505"/>
      <c r="AG232" s="505"/>
      <c r="AH232" s="505"/>
      <c r="AI232" s="505"/>
      <c r="AJ232" s="505"/>
      <c r="AK232" s="505"/>
      <c r="AL232" s="505"/>
      <c r="AM232" s="505"/>
      <c r="AN232" s="505"/>
      <c r="AO232" s="505"/>
      <c r="AP232" s="505"/>
      <c r="AQ232" s="505"/>
      <c r="AR232" s="505"/>
      <c r="AS232" s="505"/>
      <c r="AT232" s="505"/>
      <c r="AU232" s="505"/>
      <c r="AV232" s="505"/>
      <c r="AW232" s="505"/>
      <c r="AX232" s="505"/>
      <c r="AY232" s="313"/>
      <c r="AZ232" s="313"/>
      <c r="BA232" s="313"/>
      <c r="BB232" s="313"/>
    </row>
    <row r="233" spans="10:54" ht="12" customHeight="1">
      <c r="J233" s="857"/>
      <c r="K233" s="857"/>
      <c r="L233" s="857"/>
      <c r="M233" s="857"/>
      <c r="N233" s="857"/>
      <c r="O233" s="857"/>
      <c r="P233" s="857"/>
      <c r="Q233" s="857"/>
      <c r="R233" s="513"/>
      <c r="S233" s="513"/>
      <c r="T233" s="513"/>
      <c r="U233" s="513"/>
      <c r="V233" s="513"/>
      <c r="W233" s="513"/>
      <c r="X233" s="513"/>
      <c r="Y233" s="513"/>
      <c r="Z233" s="513"/>
      <c r="AA233" s="513"/>
      <c r="AB233" s="513"/>
      <c r="AC233" s="513"/>
      <c r="AD233" s="513"/>
      <c r="AE233" s="513"/>
      <c r="AF233" s="513"/>
      <c r="AG233" s="513"/>
      <c r="AH233" s="513"/>
      <c r="AI233" s="513"/>
      <c r="AJ233" s="513"/>
      <c r="AK233" s="513"/>
      <c r="AL233" s="513"/>
      <c r="AM233" s="513"/>
      <c r="AN233" s="513"/>
      <c r="AO233" s="513"/>
      <c r="AP233" s="513"/>
      <c r="AQ233" s="513"/>
      <c r="AR233" s="513"/>
      <c r="AS233" s="513"/>
      <c r="AT233" s="513"/>
      <c r="AU233" s="513"/>
      <c r="AV233" s="513"/>
      <c r="AW233" s="513"/>
      <c r="AX233" s="513"/>
      <c r="AY233" s="313"/>
      <c r="AZ233" s="313"/>
      <c r="BA233" s="313"/>
      <c r="BB233" s="313"/>
    </row>
    <row r="234" spans="10:54" ht="12" customHeight="1">
      <c r="J234" s="946"/>
      <c r="K234" s="946"/>
      <c r="L234" s="946"/>
      <c r="M234" s="946"/>
      <c r="N234" s="946"/>
      <c r="O234" s="946"/>
      <c r="P234" s="946"/>
      <c r="Q234" s="946"/>
      <c r="R234" s="946"/>
      <c r="S234" s="946"/>
      <c r="T234" s="946"/>
      <c r="U234" s="946"/>
      <c r="V234" s="946"/>
      <c r="W234" s="946"/>
      <c r="X234" s="946"/>
      <c r="Y234" s="946"/>
      <c r="Z234" s="946"/>
      <c r="AA234" s="946"/>
      <c r="AB234" s="946"/>
      <c r="AC234" s="946"/>
      <c r="AD234" s="946"/>
      <c r="AE234" s="946"/>
      <c r="AF234" s="946"/>
      <c r="AG234" s="946"/>
      <c r="AH234" s="946"/>
      <c r="AI234" s="946"/>
      <c r="AJ234" s="946"/>
      <c r="AK234" s="946"/>
      <c r="AL234" s="946"/>
      <c r="AM234" s="946"/>
      <c r="AN234" s="946"/>
      <c r="AO234" s="946"/>
      <c r="AP234" s="946"/>
      <c r="AQ234" s="946"/>
      <c r="AR234" s="946"/>
      <c r="AS234" s="946"/>
      <c r="AT234" s="946"/>
      <c r="AU234" s="946"/>
      <c r="AV234" s="946"/>
      <c r="AW234" s="946"/>
      <c r="AX234" s="946"/>
      <c r="AY234" s="313"/>
      <c r="AZ234" s="313"/>
      <c r="BA234" s="313"/>
      <c r="BB234" s="313"/>
    </row>
    <row r="235" spans="10:54" ht="12" customHeight="1">
      <c r="J235" s="948"/>
      <c r="K235" s="950"/>
      <c r="L235" s="951"/>
      <c r="M235" s="951"/>
      <c r="N235" s="951"/>
      <c r="O235" s="951"/>
      <c r="P235" s="951"/>
      <c r="Q235" s="951"/>
      <c r="R235" s="951"/>
      <c r="S235" s="949"/>
      <c r="T235" s="505"/>
      <c r="U235" s="505"/>
      <c r="V235" s="505"/>
      <c r="W235" s="505"/>
      <c r="X235" s="505"/>
      <c r="Y235" s="505"/>
      <c r="Z235" s="505"/>
      <c r="AA235" s="505"/>
      <c r="AB235" s="505"/>
      <c r="AC235" s="505"/>
      <c r="AD235" s="505"/>
      <c r="AE235" s="505"/>
      <c r="AF235" s="505"/>
      <c r="AG235" s="505"/>
      <c r="AH235" s="505"/>
      <c r="AI235" s="505"/>
      <c r="AJ235" s="505"/>
      <c r="AK235" s="505"/>
      <c r="AL235" s="505"/>
      <c r="AM235" s="505"/>
      <c r="AN235" s="505"/>
      <c r="AO235" s="505"/>
      <c r="AP235" s="505"/>
      <c r="AQ235" s="505"/>
      <c r="AR235" s="505"/>
      <c r="AS235" s="505"/>
      <c r="AT235" s="505"/>
      <c r="AU235" s="505"/>
      <c r="AV235" s="505"/>
      <c r="AW235" s="505"/>
      <c r="AX235" s="505"/>
      <c r="AY235" s="313"/>
      <c r="AZ235" s="313"/>
      <c r="BA235" s="313"/>
      <c r="BB235" s="313"/>
    </row>
    <row r="236" spans="10:54" ht="12" customHeight="1">
      <c r="J236" s="952"/>
      <c r="K236" s="505"/>
      <c r="L236" s="505"/>
      <c r="M236" s="685"/>
      <c r="N236" s="505"/>
      <c r="O236" s="505"/>
      <c r="P236" s="505"/>
      <c r="Q236" s="505"/>
      <c r="R236" s="505"/>
      <c r="S236" s="505"/>
      <c r="T236" s="505"/>
      <c r="U236" s="505"/>
      <c r="V236" s="505"/>
      <c r="W236" s="505"/>
      <c r="X236" s="505"/>
      <c r="Y236" s="505"/>
      <c r="Z236" s="505"/>
      <c r="AA236" s="505"/>
      <c r="AB236" s="505"/>
      <c r="AC236" s="505"/>
      <c r="AD236" s="505"/>
      <c r="AE236" s="505"/>
      <c r="AF236" s="505"/>
      <c r="AG236" s="505"/>
      <c r="AH236" s="505"/>
      <c r="AI236" s="505"/>
      <c r="AJ236" s="505"/>
      <c r="AK236" s="505"/>
      <c r="AL236" s="505"/>
      <c r="AM236" s="505"/>
      <c r="AN236" s="505"/>
      <c r="AO236" s="505"/>
      <c r="AP236" s="505"/>
      <c r="AQ236" s="505"/>
      <c r="AR236" s="505"/>
      <c r="AS236" s="505"/>
      <c r="AT236" s="505"/>
      <c r="AU236" s="505"/>
      <c r="AV236" s="505"/>
      <c r="AW236" s="505"/>
      <c r="AX236" s="505"/>
      <c r="AY236" s="313"/>
      <c r="AZ236" s="313"/>
      <c r="BA236" s="313"/>
      <c r="BB236" s="313"/>
    </row>
    <row r="237" spans="10:54" ht="12" customHeight="1">
      <c r="J237" s="857"/>
      <c r="K237" s="857"/>
      <c r="L237" s="857"/>
      <c r="M237" s="857"/>
      <c r="N237" s="857"/>
      <c r="O237" s="857"/>
      <c r="P237" s="857"/>
      <c r="Q237" s="857"/>
      <c r="R237" s="513"/>
      <c r="S237" s="513"/>
      <c r="T237" s="513"/>
      <c r="U237" s="513"/>
      <c r="V237" s="513"/>
      <c r="W237" s="513"/>
      <c r="X237" s="513"/>
      <c r="Y237" s="513"/>
      <c r="Z237" s="513"/>
      <c r="AA237" s="513"/>
      <c r="AB237" s="513"/>
      <c r="AC237" s="513"/>
      <c r="AD237" s="513"/>
      <c r="AE237" s="513"/>
      <c r="AF237" s="513"/>
      <c r="AG237" s="513"/>
      <c r="AH237" s="513"/>
      <c r="AI237" s="513"/>
      <c r="AJ237" s="513"/>
      <c r="AK237" s="513"/>
      <c r="AL237" s="513"/>
      <c r="AM237" s="513"/>
      <c r="AN237" s="513"/>
      <c r="AO237" s="513"/>
      <c r="AP237" s="513"/>
      <c r="AQ237" s="513"/>
      <c r="AR237" s="513"/>
      <c r="AS237" s="513"/>
      <c r="AT237" s="513"/>
      <c r="AU237" s="513"/>
      <c r="AV237" s="513"/>
      <c r="AW237" s="513"/>
      <c r="AX237" s="513"/>
      <c r="AY237" s="313"/>
      <c r="AZ237" s="313"/>
      <c r="BA237" s="313"/>
      <c r="BB237" s="313"/>
    </row>
    <row r="238" spans="10:54" ht="12" customHeight="1">
      <c r="J238" s="946"/>
      <c r="K238" s="946"/>
      <c r="L238" s="946"/>
      <c r="M238" s="946"/>
      <c r="N238" s="946"/>
      <c r="O238" s="946"/>
      <c r="P238" s="946"/>
      <c r="Q238" s="946"/>
      <c r="R238" s="946"/>
      <c r="S238" s="946"/>
      <c r="T238" s="946"/>
      <c r="U238" s="946"/>
      <c r="V238" s="946"/>
      <c r="W238" s="946"/>
      <c r="X238" s="946"/>
      <c r="Y238" s="946"/>
      <c r="Z238" s="946"/>
      <c r="AA238" s="946"/>
      <c r="AB238" s="946"/>
      <c r="AC238" s="946"/>
      <c r="AD238" s="946"/>
      <c r="AE238" s="946"/>
      <c r="AF238" s="946"/>
      <c r="AG238" s="946"/>
      <c r="AH238" s="946"/>
      <c r="AI238" s="946"/>
      <c r="AJ238" s="946"/>
      <c r="AK238" s="946"/>
      <c r="AL238" s="946"/>
      <c r="AM238" s="946"/>
      <c r="AN238" s="946"/>
      <c r="AO238" s="946"/>
      <c r="AP238" s="946"/>
      <c r="AQ238" s="946"/>
      <c r="AR238" s="946"/>
      <c r="AS238" s="946"/>
      <c r="AT238" s="946"/>
      <c r="AU238" s="946"/>
      <c r="AV238" s="946"/>
      <c r="AW238" s="946"/>
      <c r="AX238" s="946"/>
      <c r="AY238" s="313"/>
      <c r="AZ238" s="313"/>
      <c r="BA238" s="313"/>
      <c r="BB238" s="313"/>
    </row>
    <row r="239" spans="10:54" ht="12" customHeight="1">
      <c r="J239" s="946"/>
      <c r="K239" s="946"/>
      <c r="L239" s="946"/>
      <c r="M239" s="946"/>
      <c r="N239" s="946"/>
      <c r="O239" s="946"/>
      <c r="P239" s="946"/>
      <c r="Q239" s="946"/>
      <c r="R239" s="946"/>
      <c r="S239" s="946"/>
      <c r="T239" s="946"/>
      <c r="U239" s="946"/>
      <c r="V239" s="946"/>
      <c r="W239" s="946"/>
      <c r="X239" s="946"/>
      <c r="Y239" s="946"/>
      <c r="Z239" s="946"/>
      <c r="AA239" s="946"/>
      <c r="AB239" s="946"/>
      <c r="AC239" s="946"/>
      <c r="AD239" s="946"/>
      <c r="AE239" s="946"/>
      <c r="AF239" s="946"/>
      <c r="AG239" s="946"/>
      <c r="AH239" s="946"/>
      <c r="AI239" s="946"/>
      <c r="AJ239" s="946"/>
      <c r="AK239" s="946"/>
      <c r="AL239" s="946"/>
      <c r="AM239" s="946"/>
      <c r="AN239" s="946"/>
      <c r="AO239" s="946"/>
      <c r="AP239" s="946"/>
      <c r="AQ239" s="946"/>
      <c r="AR239" s="946"/>
      <c r="AS239" s="946"/>
      <c r="AT239" s="946"/>
      <c r="AU239" s="946"/>
      <c r="AV239" s="946"/>
      <c r="AW239" s="946"/>
      <c r="AX239" s="946"/>
      <c r="AY239" s="313"/>
      <c r="AZ239" s="313"/>
      <c r="BA239" s="313"/>
      <c r="BB239" s="313"/>
    </row>
    <row r="240" spans="10:54" ht="12" customHeight="1">
      <c r="AV240" s="313"/>
      <c r="AW240" s="313"/>
      <c r="AX240" s="313"/>
      <c r="AY240" s="313"/>
      <c r="AZ240" s="313"/>
      <c r="BA240" s="313"/>
      <c r="BB240" s="313"/>
    </row>
    <row r="241" spans="48:54" ht="12" customHeight="1">
      <c r="AV241" s="313"/>
      <c r="AW241" s="313"/>
      <c r="AX241" s="313"/>
      <c r="AY241" s="313"/>
      <c r="AZ241" s="313"/>
      <c r="BA241" s="313"/>
      <c r="BB241" s="313"/>
    </row>
    <row r="242" spans="48:54" ht="12" customHeight="1">
      <c r="AV242" s="313"/>
      <c r="AW242" s="313"/>
      <c r="AX242" s="313"/>
      <c r="AY242" s="313"/>
      <c r="AZ242" s="313"/>
      <c r="BA242" s="313"/>
      <c r="BB242" s="313"/>
    </row>
    <row r="243" spans="48:54" ht="12" customHeight="1">
      <c r="AV243" s="313"/>
      <c r="AW243" s="313"/>
      <c r="AX243" s="313"/>
      <c r="AY243" s="313"/>
      <c r="AZ243" s="313"/>
      <c r="BA243" s="313"/>
      <c r="BB243" s="313"/>
    </row>
    <row r="244" spans="48:54" ht="12" customHeight="1">
      <c r="AV244" s="313"/>
      <c r="AW244" s="313"/>
      <c r="AX244" s="313"/>
      <c r="AY244" s="313"/>
      <c r="AZ244" s="313"/>
      <c r="BA244" s="313"/>
      <c r="BB244" s="313"/>
    </row>
    <row r="245" spans="48:54" ht="12" customHeight="1">
      <c r="AV245" s="313"/>
      <c r="AW245" s="313"/>
      <c r="AX245" s="313"/>
      <c r="AY245" s="313"/>
      <c r="AZ245" s="313"/>
      <c r="BA245" s="313"/>
      <c r="BB245" s="313"/>
    </row>
    <row r="246" spans="48:54" ht="12" customHeight="1">
      <c r="AV246" s="313"/>
      <c r="AW246" s="313"/>
      <c r="AX246" s="313"/>
      <c r="AY246" s="313"/>
      <c r="AZ246" s="313"/>
      <c r="BA246" s="313"/>
      <c r="BB246" s="313"/>
    </row>
    <row r="247" spans="48:54" ht="12" customHeight="1">
      <c r="AV247" s="313"/>
      <c r="AW247" s="313"/>
      <c r="AX247" s="313"/>
      <c r="AY247" s="313"/>
      <c r="AZ247" s="313"/>
      <c r="BA247" s="313"/>
      <c r="BB247" s="313"/>
    </row>
    <row r="248" spans="48:54" ht="12" customHeight="1">
      <c r="AV248" s="313"/>
      <c r="AW248" s="313"/>
      <c r="AX248" s="313"/>
      <c r="AY248" s="313"/>
      <c r="AZ248" s="313"/>
      <c r="BA248" s="313"/>
      <c r="BB248" s="313"/>
    </row>
    <row r="249" spans="48:54" ht="12" customHeight="1">
      <c r="AV249" s="313"/>
      <c r="AW249" s="313"/>
      <c r="AX249" s="313"/>
      <c r="AY249" s="313"/>
      <c r="AZ249" s="313"/>
      <c r="BA249" s="313"/>
      <c r="BB249" s="313"/>
    </row>
    <row r="250" spans="48:54" ht="12" customHeight="1">
      <c r="AV250" s="313"/>
      <c r="AW250" s="313"/>
      <c r="AX250" s="313"/>
      <c r="AY250" s="313"/>
      <c r="AZ250" s="313"/>
      <c r="BA250" s="313"/>
      <c r="BB250" s="313"/>
    </row>
    <row r="251" spans="48:54" ht="12" customHeight="1">
      <c r="AV251" s="313"/>
      <c r="AW251" s="313"/>
      <c r="AX251" s="313"/>
      <c r="AY251" s="313"/>
      <c r="AZ251" s="313"/>
      <c r="BA251" s="313"/>
      <c r="BB251" s="313"/>
    </row>
    <row r="252" spans="48:54" ht="12" customHeight="1">
      <c r="AV252" s="313"/>
      <c r="AW252" s="313"/>
      <c r="AX252" s="313"/>
      <c r="AY252" s="313"/>
      <c r="AZ252" s="313"/>
      <c r="BA252" s="313"/>
      <c r="BB252" s="313"/>
    </row>
  </sheetData>
  <sheetProtection algorithmName="SHA-512" hashValue="x+YuWv2FeKccJgBFGoAWBy7IJ9ozAJu5vFjsCajcrYHOChb87gvgUD2bJbtJ3Qz/oiYyegnfh//qbp1LJFbtYw==" saltValue="gYX3f4coDhpVqNnKlddwZQ==" spinCount="100000" sheet="1" objects="1" scenarios="1"/>
  <mergeCells count="13">
    <mergeCell ref="A2:D2"/>
    <mergeCell ref="A3:D3"/>
    <mergeCell ref="A210:C210"/>
    <mergeCell ref="A213:G213"/>
    <mergeCell ref="A214:G214"/>
    <mergeCell ref="A216:G216"/>
    <mergeCell ref="A217:G217"/>
    <mergeCell ref="F18:H18"/>
    <mergeCell ref="F23:H23"/>
    <mergeCell ref="F44:H44"/>
    <mergeCell ref="F53:H53"/>
    <mergeCell ref="F62:H62"/>
    <mergeCell ref="A215:G215"/>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210"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2F182-492F-47DC-B333-6A2088FEB7A6}">
  <sheetPr>
    <pageSetUpPr fitToPage="1"/>
  </sheetPr>
  <dimension ref="A1:DU64"/>
  <sheetViews>
    <sheetView zoomScaleNormal="100" workbookViewId="0"/>
  </sheetViews>
  <sheetFormatPr defaultColWidth="9" defaultRowHeight="12" customHeight="1"/>
  <cols>
    <col min="1" max="1" width="4.140625" style="498" customWidth="1"/>
    <col min="2" max="2" width="4.28515625" style="499" customWidth="1"/>
    <col min="3" max="3" width="13.5703125" style="499" customWidth="1"/>
    <col min="4" max="4" width="65" style="499" customWidth="1"/>
    <col min="5" max="5" width="6.7109375" style="499" customWidth="1"/>
    <col min="6" max="6" width="8.42578125" style="500" customWidth="1"/>
    <col min="7" max="7" width="10" style="501" customWidth="1"/>
    <col min="8" max="8" width="15.7109375" style="501" customWidth="1"/>
    <col min="9" max="9" width="17" style="328" customWidth="1"/>
    <col min="10" max="10" width="16.42578125" style="328" customWidth="1"/>
    <col min="11" max="11" width="11.5703125" style="328" customWidth="1"/>
    <col min="12" max="12" width="13" style="328" customWidth="1"/>
    <col min="13" max="125" width="9" style="328"/>
    <col min="126" max="256" width="9" style="502"/>
    <col min="257" max="257" width="4.140625" style="502" customWidth="1"/>
    <col min="258" max="258" width="4.28515625" style="502" customWidth="1"/>
    <col min="259" max="259" width="13.5703125" style="502" customWidth="1"/>
    <col min="260" max="260" width="65" style="502" customWidth="1"/>
    <col min="261" max="261" width="6.7109375" style="502" customWidth="1"/>
    <col min="262" max="262" width="8.42578125" style="502" customWidth="1"/>
    <col min="263" max="263" width="10" style="502" customWidth="1"/>
    <col min="264" max="264" width="15.7109375" style="502" customWidth="1"/>
    <col min="265" max="265" width="17" style="502" customWidth="1"/>
    <col min="266" max="266" width="14.7109375" style="502" customWidth="1"/>
    <col min="267" max="267" width="11.5703125" style="502" customWidth="1"/>
    <col min="268" max="512" width="9" style="502"/>
    <col min="513" max="513" width="4.140625" style="502" customWidth="1"/>
    <col min="514" max="514" width="4.28515625" style="502" customWidth="1"/>
    <col min="515" max="515" width="13.5703125" style="502" customWidth="1"/>
    <col min="516" max="516" width="65" style="502" customWidth="1"/>
    <col min="517" max="517" width="6.7109375" style="502" customWidth="1"/>
    <col min="518" max="518" width="8.42578125" style="502" customWidth="1"/>
    <col min="519" max="519" width="10" style="502" customWidth="1"/>
    <col min="520" max="520" width="15.7109375" style="502" customWidth="1"/>
    <col min="521" max="521" width="17" style="502" customWidth="1"/>
    <col min="522" max="522" width="14.7109375" style="502" customWidth="1"/>
    <col min="523" max="523" width="11.5703125" style="502" customWidth="1"/>
    <col min="524" max="768" width="9" style="502"/>
    <col min="769" max="769" width="4.140625" style="502" customWidth="1"/>
    <col min="770" max="770" width="4.28515625" style="502" customWidth="1"/>
    <col min="771" max="771" width="13.5703125" style="502" customWidth="1"/>
    <col min="772" max="772" width="65" style="502" customWidth="1"/>
    <col min="773" max="773" width="6.7109375" style="502" customWidth="1"/>
    <col min="774" max="774" width="8.42578125" style="502" customWidth="1"/>
    <col min="775" max="775" width="10" style="502" customWidth="1"/>
    <col min="776" max="776" width="15.7109375" style="502" customWidth="1"/>
    <col min="777" max="777" width="17" style="502" customWidth="1"/>
    <col min="778" max="778" width="14.7109375" style="502" customWidth="1"/>
    <col min="779" max="779" width="11.5703125" style="502" customWidth="1"/>
    <col min="780" max="1024" width="9" style="502"/>
    <col min="1025" max="1025" width="4.140625" style="502" customWidth="1"/>
    <col min="1026" max="1026" width="4.28515625" style="502" customWidth="1"/>
    <col min="1027" max="1027" width="13.5703125" style="502" customWidth="1"/>
    <col min="1028" max="1028" width="65" style="502" customWidth="1"/>
    <col min="1029" max="1029" width="6.7109375" style="502" customWidth="1"/>
    <col min="1030" max="1030" width="8.42578125" style="502" customWidth="1"/>
    <col min="1031" max="1031" width="10" style="502" customWidth="1"/>
    <col min="1032" max="1032" width="15.7109375" style="502" customWidth="1"/>
    <col min="1033" max="1033" width="17" style="502" customWidth="1"/>
    <col min="1034" max="1034" width="14.7109375" style="502" customWidth="1"/>
    <col min="1035" max="1035" width="11.5703125" style="502" customWidth="1"/>
    <col min="1036" max="1280" width="9" style="502"/>
    <col min="1281" max="1281" width="4.140625" style="502" customWidth="1"/>
    <col min="1282" max="1282" width="4.28515625" style="502" customWidth="1"/>
    <col min="1283" max="1283" width="13.5703125" style="502" customWidth="1"/>
    <col min="1284" max="1284" width="65" style="502" customWidth="1"/>
    <col min="1285" max="1285" width="6.7109375" style="502" customWidth="1"/>
    <col min="1286" max="1286" width="8.42578125" style="502" customWidth="1"/>
    <col min="1287" max="1287" width="10" style="502" customWidth="1"/>
    <col min="1288" max="1288" width="15.7109375" style="502" customWidth="1"/>
    <col min="1289" max="1289" width="17" style="502" customWidth="1"/>
    <col min="1290" max="1290" width="14.7109375" style="502" customWidth="1"/>
    <col min="1291" max="1291" width="11.5703125" style="502" customWidth="1"/>
    <col min="1292" max="1536" width="9" style="502"/>
    <col min="1537" max="1537" width="4.140625" style="502" customWidth="1"/>
    <col min="1538" max="1538" width="4.28515625" style="502" customWidth="1"/>
    <col min="1539" max="1539" width="13.5703125" style="502" customWidth="1"/>
    <col min="1540" max="1540" width="65" style="502" customWidth="1"/>
    <col min="1541" max="1541" width="6.7109375" style="502" customWidth="1"/>
    <col min="1542" max="1542" width="8.42578125" style="502" customWidth="1"/>
    <col min="1543" max="1543" width="10" style="502" customWidth="1"/>
    <col min="1544" max="1544" width="15.7109375" style="502" customWidth="1"/>
    <col min="1545" max="1545" width="17" style="502" customWidth="1"/>
    <col min="1546" max="1546" width="14.7109375" style="502" customWidth="1"/>
    <col min="1547" max="1547" width="11.5703125" style="502" customWidth="1"/>
    <col min="1548" max="1792" width="9" style="502"/>
    <col min="1793" max="1793" width="4.140625" style="502" customWidth="1"/>
    <col min="1794" max="1794" width="4.28515625" style="502" customWidth="1"/>
    <col min="1795" max="1795" width="13.5703125" style="502" customWidth="1"/>
    <col min="1796" max="1796" width="65" style="502" customWidth="1"/>
    <col min="1797" max="1797" width="6.7109375" style="502" customWidth="1"/>
    <col min="1798" max="1798" width="8.42578125" style="502" customWidth="1"/>
    <col min="1799" max="1799" width="10" style="502" customWidth="1"/>
    <col min="1800" max="1800" width="15.7109375" style="502" customWidth="1"/>
    <col min="1801" max="1801" width="17" style="502" customWidth="1"/>
    <col min="1802" max="1802" width="14.7109375" style="502" customWidth="1"/>
    <col min="1803" max="1803" width="11.5703125" style="502" customWidth="1"/>
    <col min="1804" max="2048" width="9" style="502"/>
    <col min="2049" max="2049" width="4.140625" style="502" customWidth="1"/>
    <col min="2050" max="2050" width="4.28515625" style="502" customWidth="1"/>
    <col min="2051" max="2051" width="13.5703125" style="502" customWidth="1"/>
    <col min="2052" max="2052" width="65" style="502" customWidth="1"/>
    <col min="2053" max="2053" width="6.7109375" style="502" customWidth="1"/>
    <col min="2054" max="2054" width="8.42578125" style="502" customWidth="1"/>
    <col min="2055" max="2055" width="10" style="502" customWidth="1"/>
    <col min="2056" max="2056" width="15.7109375" style="502" customWidth="1"/>
    <col min="2057" max="2057" width="17" style="502" customWidth="1"/>
    <col min="2058" max="2058" width="14.7109375" style="502" customWidth="1"/>
    <col min="2059" max="2059" width="11.5703125" style="502" customWidth="1"/>
    <col min="2060" max="2304" width="9" style="502"/>
    <col min="2305" max="2305" width="4.140625" style="502" customWidth="1"/>
    <col min="2306" max="2306" width="4.28515625" style="502" customWidth="1"/>
    <col min="2307" max="2307" width="13.5703125" style="502" customWidth="1"/>
    <col min="2308" max="2308" width="65" style="502" customWidth="1"/>
    <col min="2309" max="2309" width="6.7109375" style="502" customWidth="1"/>
    <col min="2310" max="2310" width="8.42578125" style="502" customWidth="1"/>
    <col min="2311" max="2311" width="10" style="502" customWidth="1"/>
    <col min="2312" max="2312" width="15.7109375" style="502" customWidth="1"/>
    <col min="2313" max="2313" width="17" style="502" customWidth="1"/>
    <col min="2314" max="2314" width="14.7109375" style="502" customWidth="1"/>
    <col min="2315" max="2315" width="11.5703125" style="502" customWidth="1"/>
    <col min="2316" max="2560" width="9" style="502"/>
    <col min="2561" max="2561" width="4.140625" style="502" customWidth="1"/>
    <col min="2562" max="2562" width="4.28515625" style="502" customWidth="1"/>
    <col min="2563" max="2563" width="13.5703125" style="502" customWidth="1"/>
    <col min="2564" max="2564" width="65" style="502" customWidth="1"/>
    <col min="2565" max="2565" width="6.7109375" style="502" customWidth="1"/>
    <col min="2566" max="2566" width="8.42578125" style="502" customWidth="1"/>
    <col min="2567" max="2567" width="10" style="502" customWidth="1"/>
    <col min="2568" max="2568" width="15.7109375" style="502" customWidth="1"/>
    <col min="2569" max="2569" width="17" style="502" customWidth="1"/>
    <col min="2570" max="2570" width="14.7109375" style="502" customWidth="1"/>
    <col min="2571" max="2571" width="11.5703125" style="502" customWidth="1"/>
    <col min="2572" max="2816" width="9" style="502"/>
    <col min="2817" max="2817" width="4.140625" style="502" customWidth="1"/>
    <col min="2818" max="2818" width="4.28515625" style="502" customWidth="1"/>
    <col min="2819" max="2819" width="13.5703125" style="502" customWidth="1"/>
    <col min="2820" max="2820" width="65" style="502" customWidth="1"/>
    <col min="2821" max="2821" width="6.7109375" style="502" customWidth="1"/>
    <col min="2822" max="2822" width="8.42578125" style="502" customWidth="1"/>
    <col min="2823" max="2823" width="10" style="502" customWidth="1"/>
    <col min="2824" max="2824" width="15.7109375" style="502" customWidth="1"/>
    <col min="2825" max="2825" width="17" style="502" customWidth="1"/>
    <col min="2826" max="2826" width="14.7109375" style="502" customWidth="1"/>
    <col min="2827" max="2827" width="11.5703125" style="502" customWidth="1"/>
    <col min="2828" max="3072" width="9" style="502"/>
    <col min="3073" max="3073" width="4.140625" style="502" customWidth="1"/>
    <col min="3074" max="3074" width="4.28515625" style="502" customWidth="1"/>
    <col min="3075" max="3075" width="13.5703125" style="502" customWidth="1"/>
    <col min="3076" max="3076" width="65" style="502" customWidth="1"/>
    <col min="3077" max="3077" width="6.7109375" style="502" customWidth="1"/>
    <col min="3078" max="3078" width="8.42578125" style="502" customWidth="1"/>
    <col min="3079" max="3079" width="10" style="502" customWidth="1"/>
    <col min="3080" max="3080" width="15.7109375" style="502" customWidth="1"/>
    <col min="3081" max="3081" width="17" style="502" customWidth="1"/>
    <col min="3082" max="3082" width="14.7109375" style="502" customWidth="1"/>
    <col min="3083" max="3083" width="11.5703125" style="502" customWidth="1"/>
    <col min="3084" max="3328" width="9" style="502"/>
    <col min="3329" max="3329" width="4.140625" style="502" customWidth="1"/>
    <col min="3330" max="3330" width="4.28515625" style="502" customWidth="1"/>
    <col min="3331" max="3331" width="13.5703125" style="502" customWidth="1"/>
    <col min="3332" max="3332" width="65" style="502" customWidth="1"/>
    <col min="3333" max="3333" width="6.7109375" style="502" customWidth="1"/>
    <col min="3334" max="3334" width="8.42578125" style="502" customWidth="1"/>
    <col min="3335" max="3335" width="10" style="502" customWidth="1"/>
    <col min="3336" max="3336" width="15.7109375" style="502" customWidth="1"/>
    <col min="3337" max="3337" width="17" style="502" customWidth="1"/>
    <col min="3338" max="3338" width="14.7109375" style="502" customWidth="1"/>
    <col min="3339" max="3339" width="11.5703125" style="502" customWidth="1"/>
    <col min="3340" max="3584" width="9" style="502"/>
    <col min="3585" max="3585" width="4.140625" style="502" customWidth="1"/>
    <col min="3586" max="3586" width="4.28515625" style="502" customWidth="1"/>
    <col min="3587" max="3587" width="13.5703125" style="502" customWidth="1"/>
    <col min="3588" max="3588" width="65" style="502" customWidth="1"/>
    <col min="3589" max="3589" width="6.7109375" style="502" customWidth="1"/>
    <col min="3590" max="3590" width="8.42578125" style="502" customWidth="1"/>
    <col min="3591" max="3591" width="10" style="502" customWidth="1"/>
    <col min="3592" max="3592" width="15.7109375" style="502" customWidth="1"/>
    <col min="3593" max="3593" width="17" style="502" customWidth="1"/>
    <col min="3594" max="3594" width="14.7109375" style="502" customWidth="1"/>
    <col min="3595" max="3595" width="11.5703125" style="502" customWidth="1"/>
    <col min="3596" max="3840" width="9" style="502"/>
    <col min="3841" max="3841" width="4.140625" style="502" customWidth="1"/>
    <col min="3842" max="3842" width="4.28515625" style="502" customWidth="1"/>
    <col min="3843" max="3843" width="13.5703125" style="502" customWidth="1"/>
    <col min="3844" max="3844" width="65" style="502" customWidth="1"/>
    <col min="3845" max="3845" width="6.7109375" style="502" customWidth="1"/>
    <col min="3846" max="3846" width="8.42578125" style="502" customWidth="1"/>
    <col min="3847" max="3847" width="10" style="502" customWidth="1"/>
    <col min="3848" max="3848" width="15.7109375" style="502" customWidth="1"/>
    <col min="3849" max="3849" width="17" style="502" customWidth="1"/>
    <col min="3850" max="3850" width="14.7109375" style="502" customWidth="1"/>
    <col min="3851" max="3851" width="11.5703125" style="502" customWidth="1"/>
    <col min="3852" max="4096" width="9" style="502"/>
    <col min="4097" max="4097" width="4.140625" style="502" customWidth="1"/>
    <col min="4098" max="4098" width="4.28515625" style="502" customWidth="1"/>
    <col min="4099" max="4099" width="13.5703125" style="502" customWidth="1"/>
    <col min="4100" max="4100" width="65" style="502" customWidth="1"/>
    <col min="4101" max="4101" width="6.7109375" style="502" customWidth="1"/>
    <col min="4102" max="4102" width="8.42578125" style="502" customWidth="1"/>
    <col min="4103" max="4103" width="10" style="502" customWidth="1"/>
    <col min="4104" max="4104" width="15.7109375" style="502" customWidth="1"/>
    <col min="4105" max="4105" width="17" style="502" customWidth="1"/>
    <col min="4106" max="4106" width="14.7109375" style="502" customWidth="1"/>
    <col min="4107" max="4107" width="11.5703125" style="502" customWidth="1"/>
    <col min="4108" max="4352" width="9" style="502"/>
    <col min="4353" max="4353" width="4.140625" style="502" customWidth="1"/>
    <col min="4354" max="4354" width="4.28515625" style="502" customWidth="1"/>
    <col min="4355" max="4355" width="13.5703125" style="502" customWidth="1"/>
    <col min="4356" max="4356" width="65" style="502" customWidth="1"/>
    <col min="4357" max="4357" width="6.7109375" style="502" customWidth="1"/>
    <col min="4358" max="4358" width="8.42578125" style="502" customWidth="1"/>
    <col min="4359" max="4359" width="10" style="502" customWidth="1"/>
    <col min="4360" max="4360" width="15.7109375" style="502" customWidth="1"/>
    <col min="4361" max="4361" width="17" style="502" customWidth="1"/>
    <col min="4362" max="4362" width="14.7109375" style="502" customWidth="1"/>
    <col min="4363" max="4363" width="11.5703125" style="502" customWidth="1"/>
    <col min="4364" max="4608" width="9" style="502"/>
    <col min="4609" max="4609" width="4.140625" style="502" customWidth="1"/>
    <col min="4610" max="4610" width="4.28515625" style="502" customWidth="1"/>
    <col min="4611" max="4611" width="13.5703125" style="502" customWidth="1"/>
    <col min="4612" max="4612" width="65" style="502" customWidth="1"/>
    <col min="4613" max="4613" width="6.7109375" style="502" customWidth="1"/>
    <col min="4614" max="4614" width="8.42578125" style="502" customWidth="1"/>
    <col min="4615" max="4615" width="10" style="502" customWidth="1"/>
    <col min="4616" max="4616" width="15.7109375" style="502" customWidth="1"/>
    <col min="4617" max="4617" width="17" style="502" customWidth="1"/>
    <col min="4618" max="4618" width="14.7109375" style="502" customWidth="1"/>
    <col min="4619" max="4619" width="11.5703125" style="502" customWidth="1"/>
    <col min="4620" max="4864" width="9" style="502"/>
    <col min="4865" max="4865" width="4.140625" style="502" customWidth="1"/>
    <col min="4866" max="4866" width="4.28515625" style="502" customWidth="1"/>
    <col min="4867" max="4867" width="13.5703125" style="502" customWidth="1"/>
    <col min="4868" max="4868" width="65" style="502" customWidth="1"/>
    <col min="4869" max="4869" width="6.7109375" style="502" customWidth="1"/>
    <col min="4870" max="4870" width="8.42578125" style="502" customWidth="1"/>
    <col min="4871" max="4871" width="10" style="502" customWidth="1"/>
    <col min="4872" max="4872" width="15.7109375" style="502" customWidth="1"/>
    <col min="4873" max="4873" width="17" style="502" customWidth="1"/>
    <col min="4874" max="4874" width="14.7109375" style="502" customWidth="1"/>
    <col min="4875" max="4875" width="11.5703125" style="502" customWidth="1"/>
    <col min="4876" max="5120" width="9" style="502"/>
    <col min="5121" max="5121" width="4.140625" style="502" customWidth="1"/>
    <col min="5122" max="5122" width="4.28515625" style="502" customWidth="1"/>
    <col min="5123" max="5123" width="13.5703125" style="502" customWidth="1"/>
    <col min="5124" max="5124" width="65" style="502" customWidth="1"/>
    <col min="5125" max="5125" width="6.7109375" style="502" customWidth="1"/>
    <col min="5126" max="5126" width="8.42578125" style="502" customWidth="1"/>
    <col min="5127" max="5127" width="10" style="502" customWidth="1"/>
    <col min="5128" max="5128" width="15.7109375" style="502" customWidth="1"/>
    <col min="5129" max="5129" width="17" style="502" customWidth="1"/>
    <col min="5130" max="5130" width="14.7109375" style="502" customWidth="1"/>
    <col min="5131" max="5131" width="11.5703125" style="502" customWidth="1"/>
    <col min="5132" max="5376" width="9" style="502"/>
    <col min="5377" max="5377" width="4.140625" style="502" customWidth="1"/>
    <col min="5378" max="5378" width="4.28515625" style="502" customWidth="1"/>
    <col min="5379" max="5379" width="13.5703125" style="502" customWidth="1"/>
    <col min="5380" max="5380" width="65" style="502" customWidth="1"/>
    <col min="5381" max="5381" width="6.7109375" style="502" customWidth="1"/>
    <col min="5382" max="5382" width="8.42578125" style="502" customWidth="1"/>
    <col min="5383" max="5383" width="10" style="502" customWidth="1"/>
    <col min="5384" max="5384" width="15.7109375" style="502" customWidth="1"/>
    <col min="5385" max="5385" width="17" style="502" customWidth="1"/>
    <col min="5386" max="5386" width="14.7109375" style="502" customWidth="1"/>
    <col min="5387" max="5387" width="11.5703125" style="502" customWidth="1"/>
    <col min="5388" max="5632" width="9" style="502"/>
    <col min="5633" max="5633" width="4.140625" style="502" customWidth="1"/>
    <col min="5634" max="5634" width="4.28515625" style="502" customWidth="1"/>
    <col min="5635" max="5635" width="13.5703125" style="502" customWidth="1"/>
    <col min="5636" max="5636" width="65" style="502" customWidth="1"/>
    <col min="5637" max="5637" width="6.7109375" style="502" customWidth="1"/>
    <col min="5638" max="5638" width="8.42578125" style="502" customWidth="1"/>
    <col min="5639" max="5639" width="10" style="502" customWidth="1"/>
    <col min="5640" max="5640" width="15.7109375" style="502" customWidth="1"/>
    <col min="5641" max="5641" width="17" style="502" customWidth="1"/>
    <col min="5642" max="5642" width="14.7109375" style="502" customWidth="1"/>
    <col min="5643" max="5643" width="11.5703125" style="502" customWidth="1"/>
    <col min="5644" max="5888" width="9" style="502"/>
    <col min="5889" max="5889" width="4.140625" style="502" customWidth="1"/>
    <col min="5890" max="5890" width="4.28515625" style="502" customWidth="1"/>
    <col min="5891" max="5891" width="13.5703125" style="502" customWidth="1"/>
    <col min="5892" max="5892" width="65" style="502" customWidth="1"/>
    <col min="5893" max="5893" width="6.7109375" style="502" customWidth="1"/>
    <col min="5894" max="5894" width="8.42578125" style="502" customWidth="1"/>
    <col min="5895" max="5895" width="10" style="502" customWidth="1"/>
    <col min="5896" max="5896" width="15.7109375" style="502" customWidth="1"/>
    <col min="5897" max="5897" width="17" style="502" customWidth="1"/>
    <col min="5898" max="5898" width="14.7109375" style="502" customWidth="1"/>
    <col min="5899" max="5899" width="11.5703125" style="502" customWidth="1"/>
    <col min="5900" max="6144" width="9" style="502"/>
    <col min="6145" max="6145" width="4.140625" style="502" customWidth="1"/>
    <col min="6146" max="6146" width="4.28515625" style="502" customWidth="1"/>
    <col min="6147" max="6147" width="13.5703125" style="502" customWidth="1"/>
    <col min="6148" max="6148" width="65" style="502" customWidth="1"/>
    <col min="6149" max="6149" width="6.7109375" style="502" customWidth="1"/>
    <col min="6150" max="6150" width="8.42578125" style="502" customWidth="1"/>
    <col min="6151" max="6151" width="10" style="502" customWidth="1"/>
    <col min="6152" max="6152" width="15.7109375" style="502" customWidth="1"/>
    <col min="6153" max="6153" width="17" style="502" customWidth="1"/>
    <col min="6154" max="6154" width="14.7109375" style="502" customWidth="1"/>
    <col min="6155" max="6155" width="11.5703125" style="502" customWidth="1"/>
    <col min="6156" max="6400" width="9" style="502"/>
    <col min="6401" max="6401" width="4.140625" style="502" customWidth="1"/>
    <col min="6402" max="6402" width="4.28515625" style="502" customWidth="1"/>
    <col min="6403" max="6403" width="13.5703125" style="502" customWidth="1"/>
    <col min="6404" max="6404" width="65" style="502" customWidth="1"/>
    <col min="6405" max="6405" width="6.7109375" style="502" customWidth="1"/>
    <col min="6406" max="6406" width="8.42578125" style="502" customWidth="1"/>
    <col min="6407" max="6407" width="10" style="502" customWidth="1"/>
    <col min="6408" max="6408" width="15.7109375" style="502" customWidth="1"/>
    <col min="6409" max="6409" width="17" style="502" customWidth="1"/>
    <col min="6410" max="6410" width="14.7109375" style="502" customWidth="1"/>
    <col min="6411" max="6411" width="11.5703125" style="502" customWidth="1"/>
    <col min="6412" max="6656" width="9" style="502"/>
    <col min="6657" max="6657" width="4.140625" style="502" customWidth="1"/>
    <col min="6658" max="6658" width="4.28515625" style="502" customWidth="1"/>
    <col min="6659" max="6659" width="13.5703125" style="502" customWidth="1"/>
    <col min="6660" max="6660" width="65" style="502" customWidth="1"/>
    <col min="6661" max="6661" width="6.7109375" style="502" customWidth="1"/>
    <col min="6662" max="6662" width="8.42578125" style="502" customWidth="1"/>
    <col min="6663" max="6663" width="10" style="502" customWidth="1"/>
    <col min="6664" max="6664" width="15.7109375" style="502" customWidth="1"/>
    <col min="6665" max="6665" width="17" style="502" customWidth="1"/>
    <col min="6666" max="6666" width="14.7109375" style="502" customWidth="1"/>
    <col min="6667" max="6667" width="11.5703125" style="502" customWidth="1"/>
    <col min="6668" max="6912" width="9" style="502"/>
    <col min="6913" max="6913" width="4.140625" style="502" customWidth="1"/>
    <col min="6914" max="6914" width="4.28515625" style="502" customWidth="1"/>
    <col min="6915" max="6915" width="13.5703125" style="502" customWidth="1"/>
    <col min="6916" max="6916" width="65" style="502" customWidth="1"/>
    <col min="6917" max="6917" width="6.7109375" style="502" customWidth="1"/>
    <col min="6918" max="6918" width="8.42578125" style="502" customWidth="1"/>
    <col min="6919" max="6919" width="10" style="502" customWidth="1"/>
    <col min="6920" max="6920" width="15.7109375" style="502" customWidth="1"/>
    <col min="6921" max="6921" width="17" style="502" customWidth="1"/>
    <col min="6922" max="6922" width="14.7109375" style="502" customWidth="1"/>
    <col min="6923" max="6923" width="11.5703125" style="502" customWidth="1"/>
    <col min="6924" max="7168" width="9" style="502"/>
    <col min="7169" max="7169" width="4.140625" style="502" customWidth="1"/>
    <col min="7170" max="7170" width="4.28515625" style="502" customWidth="1"/>
    <col min="7171" max="7171" width="13.5703125" style="502" customWidth="1"/>
    <col min="7172" max="7172" width="65" style="502" customWidth="1"/>
    <col min="7173" max="7173" width="6.7109375" style="502" customWidth="1"/>
    <col min="7174" max="7174" width="8.42578125" style="502" customWidth="1"/>
    <col min="7175" max="7175" width="10" style="502" customWidth="1"/>
    <col min="7176" max="7176" width="15.7109375" style="502" customWidth="1"/>
    <col min="7177" max="7177" width="17" style="502" customWidth="1"/>
    <col min="7178" max="7178" width="14.7109375" style="502" customWidth="1"/>
    <col min="7179" max="7179" width="11.5703125" style="502" customWidth="1"/>
    <col min="7180" max="7424" width="9" style="502"/>
    <col min="7425" max="7425" width="4.140625" style="502" customWidth="1"/>
    <col min="7426" max="7426" width="4.28515625" style="502" customWidth="1"/>
    <col min="7427" max="7427" width="13.5703125" style="502" customWidth="1"/>
    <col min="7428" max="7428" width="65" style="502" customWidth="1"/>
    <col min="7429" max="7429" width="6.7109375" style="502" customWidth="1"/>
    <col min="7430" max="7430" width="8.42578125" style="502" customWidth="1"/>
    <col min="7431" max="7431" width="10" style="502" customWidth="1"/>
    <col min="7432" max="7432" width="15.7109375" style="502" customWidth="1"/>
    <col min="7433" max="7433" width="17" style="502" customWidth="1"/>
    <col min="7434" max="7434" width="14.7109375" style="502" customWidth="1"/>
    <col min="7435" max="7435" width="11.5703125" style="502" customWidth="1"/>
    <col min="7436" max="7680" width="9" style="502"/>
    <col min="7681" max="7681" width="4.140625" style="502" customWidth="1"/>
    <col min="7682" max="7682" width="4.28515625" style="502" customWidth="1"/>
    <col min="7683" max="7683" width="13.5703125" style="502" customWidth="1"/>
    <col min="7684" max="7684" width="65" style="502" customWidth="1"/>
    <col min="7685" max="7685" width="6.7109375" style="502" customWidth="1"/>
    <col min="7686" max="7686" width="8.42578125" style="502" customWidth="1"/>
    <col min="7687" max="7687" width="10" style="502" customWidth="1"/>
    <col min="7688" max="7688" width="15.7109375" style="502" customWidth="1"/>
    <col min="7689" max="7689" width="17" style="502" customWidth="1"/>
    <col min="7690" max="7690" width="14.7109375" style="502" customWidth="1"/>
    <col min="7691" max="7691" width="11.5703125" style="502" customWidth="1"/>
    <col min="7692" max="7936" width="9" style="502"/>
    <col min="7937" max="7937" width="4.140625" style="502" customWidth="1"/>
    <col min="7938" max="7938" width="4.28515625" style="502" customWidth="1"/>
    <col min="7939" max="7939" width="13.5703125" style="502" customWidth="1"/>
    <col min="7940" max="7940" width="65" style="502" customWidth="1"/>
    <col min="7941" max="7941" width="6.7109375" style="502" customWidth="1"/>
    <col min="7942" max="7942" width="8.42578125" style="502" customWidth="1"/>
    <col min="7943" max="7943" width="10" style="502" customWidth="1"/>
    <col min="7944" max="7944" width="15.7109375" style="502" customWidth="1"/>
    <col min="7945" max="7945" width="17" style="502" customWidth="1"/>
    <col min="7946" max="7946" width="14.7109375" style="502" customWidth="1"/>
    <col min="7947" max="7947" width="11.5703125" style="502" customWidth="1"/>
    <col min="7948" max="8192" width="9" style="502"/>
    <col min="8193" max="8193" width="4.140625" style="502" customWidth="1"/>
    <col min="8194" max="8194" width="4.28515625" style="502" customWidth="1"/>
    <col min="8195" max="8195" width="13.5703125" style="502" customWidth="1"/>
    <col min="8196" max="8196" width="65" style="502" customWidth="1"/>
    <col min="8197" max="8197" width="6.7109375" style="502" customWidth="1"/>
    <col min="8198" max="8198" width="8.42578125" style="502" customWidth="1"/>
    <col min="8199" max="8199" width="10" style="502" customWidth="1"/>
    <col min="8200" max="8200" width="15.7109375" style="502" customWidth="1"/>
    <col min="8201" max="8201" width="17" style="502" customWidth="1"/>
    <col min="8202" max="8202" width="14.7109375" style="502" customWidth="1"/>
    <col min="8203" max="8203" width="11.5703125" style="502" customWidth="1"/>
    <col min="8204" max="8448" width="9" style="502"/>
    <col min="8449" max="8449" width="4.140625" style="502" customWidth="1"/>
    <col min="8450" max="8450" width="4.28515625" style="502" customWidth="1"/>
    <col min="8451" max="8451" width="13.5703125" style="502" customWidth="1"/>
    <col min="8452" max="8452" width="65" style="502" customWidth="1"/>
    <col min="8453" max="8453" width="6.7109375" style="502" customWidth="1"/>
    <col min="8454" max="8454" width="8.42578125" style="502" customWidth="1"/>
    <col min="8455" max="8455" width="10" style="502" customWidth="1"/>
    <col min="8456" max="8456" width="15.7109375" style="502" customWidth="1"/>
    <col min="8457" max="8457" width="17" style="502" customWidth="1"/>
    <col min="8458" max="8458" width="14.7109375" style="502" customWidth="1"/>
    <col min="8459" max="8459" width="11.5703125" style="502" customWidth="1"/>
    <col min="8460" max="8704" width="9" style="502"/>
    <col min="8705" max="8705" width="4.140625" style="502" customWidth="1"/>
    <col min="8706" max="8706" width="4.28515625" style="502" customWidth="1"/>
    <col min="8707" max="8707" width="13.5703125" style="502" customWidth="1"/>
    <col min="8708" max="8708" width="65" style="502" customWidth="1"/>
    <col min="8709" max="8709" width="6.7109375" style="502" customWidth="1"/>
    <col min="8710" max="8710" width="8.42578125" style="502" customWidth="1"/>
    <col min="8711" max="8711" width="10" style="502" customWidth="1"/>
    <col min="8712" max="8712" width="15.7109375" style="502" customWidth="1"/>
    <col min="8713" max="8713" width="17" style="502" customWidth="1"/>
    <col min="8714" max="8714" width="14.7109375" style="502" customWidth="1"/>
    <col min="8715" max="8715" width="11.5703125" style="502" customWidth="1"/>
    <col min="8716" max="8960" width="9" style="502"/>
    <col min="8961" max="8961" width="4.140625" style="502" customWidth="1"/>
    <col min="8962" max="8962" width="4.28515625" style="502" customWidth="1"/>
    <col min="8963" max="8963" width="13.5703125" style="502" customWidth="1"/>
    <col min="8964" max="8964" width="65" style="502" customWidth="1"/>
    <col min="8965" max="8965" width="6.7109375" style="502" customWidth="1"/>
    <col min="8966" max="8966" width="8.42578125" style="502" customWidth="1"/>
    <col min="8967" max="8967" width="10" style="502" customWidth="1"/>
    <col min="8968" max="8968" width="15.7109375" style="502" customWidth="1"/>
    <col min="8969" max="8969" width="17" style="502" customWidth="1"/>
    <col min="8970" max="8970" width="14.7109375" style="502" customWidth="1"/>
    <col min="8971" max="8971" width="11.5703125" style="502" customWidth="1"/>
    <col min="8972" max="9216" width="9" style="502"/>
    <col min="9217" max="9217" width="4.140625" style="502" customWidth="1"/>
    <col min="9218" max="9218" width="4.28515625" style="502" customWidth="1"/>
    <col min="9219" max="9219" width="13.5703125" style="502" customWidth="1"/>
    <col min="9220" max="9220" width="65" style="502" customWidth="1"/>
    <col min="9221" max="9221" width="6.7109375" style="502" customWidth="1"/>
    <col min="9222" max="9222" width="8.42578125" style="502" customWidth="1"/>
    <col min="9223" max="9223" width="10" style="502" customWidth="1"/>
    <col min="9224" max="9224" width="15.7109375" style="502" customWidth="1"/>
    <col min="9225" max="9225" width="17" style="502" customWidth="1"/>
    <col min="9226" max="9226" width="14.7109375" style="502" customWidth="1"/>
    <col min="9227" max="9227" width="11.5703125" style="502" customWidth="1"/>
    <col min="9228" max="9472" width="9" style="502"/>
    <col min="9473" max="9473" width="4.140625" style="502" customWidth="1"/>
    <col min="9474" max="9474" width="4.28515625" style="502" customWidth="1"/>
    <col min="9475" max="9475" width="13.5703125" style="502" customWidth="1"/>
    <col min="9476" max="9476" width="65" style="502" customWidth="1"/>
    <col min="9477" max="9477" width="6.7109375" style="502" customWidth="1"/>
    <col min="9478" max="9478" width="8.42578125" style="502" customWidth="1"/>
    <col min="9479" max="9479" width="10" style="502" customWidth="1"/>
    <col min="9480" max="9480" width="15.7109375" style="502" customWidth="1"/>
    <col min="9481" max="9481" width="17" style="502" customWidth="1"/>
    <col min="9482" max="9482" width="14.7109375" style="502" customWidth="1"/>
    <col min="9483" max="9483" width="11.5703125" style="502" customWidth="1"/>
    <col min="9484" max="9728" width="9" style="502"/>
    <col min="9729" max="9729" width="4.140625" style="502" customWidth="1"/>
    <col min="9730" max="9730" width="4.28515625" style="502" customWidth="1"/>
    <col min="9731" max="9731" width="13.5703125" style="502" customWidth="1"/>
    <col min="9732" max="9732" width="65" style="502" customWidth="1"/>
    <col min="9733" max="9733" width="6.7109375" style="502" customWidth="1"/>
    <col min="9734" max="9734" width="8.42578125" style="502" customWidth="1"/>
    <col min="9735" max="9735" width="10" style="502" customWidth="1"/>
    <col min="9736" max="9736" width="15.7109375" style="502" customWidth="1"/>
    <col min="9737" max="9737" width="17" style="502" customWidth="1"/>
    <col min="9738" max="9738" width="14.7109375" style="502" customWidth="1"/>
    <col min="9739" max="9739" width="11.5703125" style="502" customWidth="1"/>
    <col min="9740" max="9984" width="9" style="502"/>
    <col min="9985" max="9985" width="4.140625" style="502" customWidth="1"/>
    <col min="9986" max="9986" width="4.28515625" style="502" customWidth="1"/>
    <col min="9987" max="9987" width="13.5703125" style="502" customWidth="1"/>
    <col min="9988" max="9988" width="65" style="502" customWidth="1"/>
    <col min="9989" max="9989" width="6.7109375" style="502" customWidth="1"/>
    <col min="9990" max="9990" width="8.42578125" style="502" customWidth="1"/>
    <col min="9991" max="9991" width="10" style="502" customWidth="1"/>
    <col min="9992" max="9992" width="15.7109375" style="502" customWidth="1"/>
    <col min="9993" max="9993" width="17" style="502" customWidth="1"/>
    <col min="9994" max="9994" width="14.7109375" style="502" customWidth="1"/>
    <col min="9995" max="9995" width="11.5703125" style="502" customWidth="1"/>
    <col min="9996" max="10240" width="9" style="502"/>
    <col min="10241" max="10241" width="4.140625" style="502" customWidth="1"/>
    <col min="10242" max="10242" width="4.28515625" style="502" customWidth="1"/>
    <col min="10243" max="10243" width="13.5703125" style="502" customWidth="1"/>
    <col min="10244" max="10244" width="65" style="502" customWidth="1"/>
    <col min="10245" max="10245" width="6.7109375" style="502" customWidth="1"/>
    <col min="10246" max="10246" width="8.42578125" style="502" customWidth="1"/>
    <col min="10247" max="10247" width="10" style="502" customWidth="1"/>
    <col min="10248" max="10248" width="15.7109375" style="502" customWidth="1"/>
    <col min="10249" max="10249" width="17" style="502" customWidth="1"/>
    <col min="10250" max="10250" width="14.7109375" style="502" customWidth="1"/>
    <col min="10251" max="10251" width="11.5703125" style="502" customWidth="1"/>
    <col min="10252" max="10496" width="9" style="502"/>
    <col min="10497" max="10497" width="4.140625" style="502" customWidth="1"/>
    <col min="10498" max="10498" width="4.28515625" style="502" customWidth="1"/>
    <col min="10499" max="10499" width="13.5703125" style="502" customWidth="1"/>
    <col min="10500" max="10500" width="65" style="502" customWidth="1"/>
    <col min="10501" max="10501" width="6.7109375" style="502" customWidth="1"/>
    <col min="10502" max="10502" width="8.42578125" style="502" customWidth="1"/>
    <col min="10503" max="10503" width="10" style="502" customWidth="1"/>
    <col min="10504" max="10504" width="15.7109375" style="502" customWidth="1"/>
    <col min="10505" max="10505" width="17" style="502" customWidth="1"/>
    <col min="10506" max="10506" width="14.7109375" style="502" customWidth="1"/>
    <col min="10507" max="10507" width="11.5703125" style="502" customWidth="1"/>
    <col min="10508" max="10752" width="9" style="502"/>
    <col min="10753" max="10753" width="4.140625" style="502" customWidth="1"/>
    <col min="10754" max="10754" width="4.28515625" style="502" customWidth="1"/>
    <col min="10755" max="10755" width="13.5703125" style="502" customWidth="1"/>
    <col min="10756" max="10756" width="65" style="502" customWidth="1"/>
    <col min="10757" max="10757" width="6.7109375" style="502" customWidth="1"/>
    <col min="10758" max="10758" width="8.42578125" style="502" customWidth="1"/>
    <col min="10759" max="10759" width="10" style="502" customWidth="1"/>
    <col min="10760" max="10760" width="15.7109375" style="502" customWidth="1"/>
    <col min="10761" max="10761" width="17" style="502" customWidth="1"/>
    <col min="10762" max="10762" width="14.7109375" style="502" customWidth="1"/>
    <col min="10763" max="10763" width="11.5703125" style="502" customWidth="1"/>
    <col min="10764" max="11008" width="9" style="502"/>
    <col min="11009" max="11009" width="4.140625" style="502" customWidth="1"/>
    <col min="11010" max="11010" width="4.28515625" style="502" customWidth="1"/>
    <col min="11011" max="11011" width="13.5703125" style="502" customWidth="1"/>
    <col min="11012" max="11012" width="65" style="502" customWidth="1"/>
    <col min="11013" max="11013" width="6.7109375" style="502" customWidth="1"/>
    <col min="11014" max="11014" width="8.42578125" style="502" customWidth="1"/>
    <col min="11015" max="11015" width="10" style="502" customWidth="1"/>
    <col min="11016" max="11016" width="15.7109375" style="502" customWidth="1"/>
    <col min="11017" max="11017" width="17" style="502" customWidth="1"/>
    <col min="11018" max="11018" width="14.7109375" style="502" customWidth="1"/>
    <col min="11019" max="11019" width="11.5703125" style="502" customWidth="1"/>
    <col min="11020" max="11264" width="9" style="502"/>
    <col min="11265" max="11265" width="4.140625" style="502" customWidth="1"/>
    <col min="11266" max="11266" width="4.28515625" style="502" customWidth="1"/>
    <col min="11267" max="11267" width="13.5703125" style="502" customWidth="1"/>
    <col min="11268" max="11268" width="65" style="502" customWidth="1"/>
    <col min="11269" max="11269" width="6.7109375" style="502" customWidth="1"/>
    <col min="11270" max="11270" width="8.42578125" style="502" customWidth="1"/>
    <col min="11271" max="11271" width="10" style="502" customWidth="1"/>
    <col min="11272" max="11272" width="15.7109375" style="502" customWidth="1"/>
    <col min="11273" max="11273" width="17" style="502" customWidth="1"/>
    <col min="11274" max="11274" width="14.7109375" style="502" customWidth="1"/>
    <col min="11275" max="11275" width="11.5703125" style="502" customWidth="1"/>
    <col min="11276" max="11520" width="9" style="502"/>
    <col min="11521" max="11521" width="4.140625" style="502" customWidth="1"/>
    <col min="11522" max="11522" width="4.28515625" style="502" customWidth="1"/>
    <col min="11523" max="11523" width="13.5703125" style="502" customWidth="1"/>
    <col min="11524" max="11524" width="65" style="502" customWidth="1"/>
    <col min="11525" max="11525" width="6.7109375" style="502" customWidth="1"/>
    <col min="11526" max="11526" width="8.42578125" style="502" customWidth="1"/>
    <col min="11527" max="11527" width="10" style="502" customWidth="1"/>
    <col min="11528" max="11528" width="15.7109375" style="502" customWidth="1"/>
    <col min="11529" max="11529" width="17" style="502" customWidth="1"/>
    <col min="11530" max="11530" width="14.7109375" style="502" customWidth="1"/>
    <col min="11531" max="11531" width="11.5703125" style="502" customWidth="1"/>
    <col min="11532" max="11776" width="9" style="502"/>
    <col min="11777" max="11777" width="4.140625" style="502" customWidth="1"/>
    <col min="11778" max="11778" width="4.28515625" style="502" customWidth="1"/>
    <col min="11779" max="11779" width="13.5703125" style="502" customWidth="1"/>
    <col min="11780" max="11780" width="65" style="502" customWidth="1"/>
    <col min="11781" max="11781" width="6.7109375" style="502" customWidth="1"/>
    <col min="11782" max="11782" width="8.42578125" style="502" customWidth="1"/>
    <col min="11783" max="11783" width="10" style="502" customWidth="1"/>
    <col min="11784" max="11784" width="15.7109375" style="502" customWidth="1"/>
    <col min="11785" max="11785" width="17" style="502" customWidth="1"/>
    <col min="11786" max="11786" width="14.7109375" style="502" customWidth="1"/>
    <col min="11787" max="11787" width="11.5703125" style="502" customWidth="1"/>
    <col min="11788" max="12032" width="9" style="502"/>
    <col min="12033" max="12033" width="4.140625" style="502" customWidth="1"/>
    <col min="12034" max="12034" width="4.28515625" style="502" customWidth="1"/>
    <col min="12035" max="12035" width="13.5703125" style="502" customWidth="1"/>
    <col min="12036" max="12036" width="65" style="502" customWidth="1"/>
    <col min="12037" max="12037" width="6.7109375" style="502" customWidth="1"/>
    <col min="12038" max="12038" width="8.42578125" style="502" customWidth="1"/>
    <col min="12039" max="12039" width="10" style="502" customWidth="1"/>
    <col min="12040" max="12040" width="15.7109375" style="502" customWidth="1"/>
    <col min="12041" max="12041" width="17" style="502" customWidth="1"/>
    <col min="12042" max="12042" width="14.7109375" style="502" customWidth="1"/>
    <col min="12043" max="12043" width="11.5703125" style="502" customWidth="1"/>
    <col min="12044" max="12288" width="9" style="502"/>
    <col min="12289" max="12289" width="4.140625" style="502" customWidth="1"/>
    <col min="12290" max="12290" width="4.28515625" style="502" customWidth="1"/>
    <col min="12291" max="12291" width="13.5703125" style="502" customWidth="1"/>
    <col min="12292" max="12292" width="65" style="502" customWidth="1"/>
    <col min="12293" max="12293" width="6.7109375" style="502" customWidth="1"/>
    <col min="12294" max="12294" width="8.42578125" style="502" customWidth="1"/>
    <col min="12295" max="12295" width="10" style="502" customWidth="1"/>
    <col min="12296" max="12296" width="15.7109375" style="502" customWidth="1"/>
    <col min="12297" max="12297" width="17" style="502" customWidth="1"/>
    <col min="12298" max="12298" width="14.7109375" style="502" customWidth="1"/>
    <col min="12299" max="12299" width="11.5703125" style="502" customWidth="1"/>
    <col min="12300" max="12544" width="9" style="502"/>
    <col min="12545" max="12545" width="4.140625" style="502" customWidth="1"/>
    <col min="12546" max="12546" width="4.28515625" style="502" customWidth="1"/>
    <col min="12547" max="12547" width="13.5703125" style="502" customWidth="1"/>
    <col min="12548" max="12548" width="65" style="502" customWidth="1"/>
    <col min="12549" max="12549" width="6.7109375" style="502" customWidth="1"/>
    <col min="12550" max="12550" width="8.42578125" style="502" customWidth="1"/>
    <col min="12551" max="12551" width="10" style="502" customWidth="1"/>
    <col min="12552" max="12552" width="15.7109375" style="502" customWidth="1"/>
    <col min="12553" max="12553" width="17" style="502" customWidth="1"/>
    <col min="12554" max="12554" width="14.7109375" style="502" customWidth="1"/>
    <col min="12555" max="12555" width="11.5703125" style="502" customWidth="1"/>
    <col min="12556" max="12800" width="9" style="502"/>
    <col min="12801" max="12801" width="4.140625" style="502" customWidth="1"/>
    <col min="12802" max="12802" width="4.28515625" style="502" customWidth="1"/>
    <col min="12803" max="12803" width="13.5703125" style="502" customWidth="1"/>
    <col min="12804" max="12804" width="65" style="502" customWidth="1"/>
    <col min="12805" max="12805" width="6.7109375" style="502" customWidth="1"/>
    <col min="12806" max="12806" width="8.42578125" style="502" customWidth="1"/>
    <col min="12807" max="12807" width="10" style="502" customWidth="1"/>
    <col min="12808" max="12808" width="15.7109375" style="502" customWidth="1"/>
    <col min="12809" max="12809" width="17" style="502" customWidth="1"/>
    <col min="12810" max="12810" width="14.7109375" style="502" customWidth="1"/>
    <col min="12811" max="12811" width="11.5703125" style="502" customWidth="1"/>
    <col min="12812" max="13056" width="9" style="502"/>
    <col min="13057" max="13057" width="4.140625" style="502" customWidth="1"/>
    <col min="13058" max="13058" width="4.28515625" style="502" customWidth="1"/>
    <col min="13059" max="13059" width="13.5703125" style="502" customWidth="1"/>
    <col min="13060" max="13060" width="65" style="502" customWidth="1"/>
    <col min="13061" max="13061" width="6.7109375" style="502" customWidth="1"/>
    <col min="13062" max="13062" width="8.42578125" style="502" customWidth="1"/>
    <col min="13063" max="13063" width="10" style="502" customWidth="1"/>
    <col min="13064" max="13064" width="15.7109375" style="502" customWidth="1"/>
    <col min="13065" max="13065" width="17" style="502" customWidth="1"/>
    <col min="13066" max="13066" width="14.7109375" style="502" customWidth="1"/>
    <col min="13067" max="13067" width="11.5703125" style="502" customWidth="1"/>
    <col min="13068" max="13312" width="9" style="502"/>
    <col min="13313" max="13313" width="4.140625" style="502" customWidth="1"/>
    <col min="13314" max="13314" width="4.28515625" style="502" customWidth="1"/>
    <col min="13315" max="13315" width="13.5703125" style="502" customWidth="1"/>
    <col min="13316" max="13316" width="65" style="502" customWidth="1"/>
    <col min="13317" max="13317" width="6.7109375" style="502" customWidth="1"/>
    <col min="13318" max="13318" width="8.42578125" style="502" customWidth="1"/>
    <col min="13319" max="13319" width="10" style="502" customWidth="1"/>
    <col min="13320" max="13320" width="15.7109375" style="502" customWidth="1"/>
    <col min="13321" max="13321" width="17" style="502" customWidth="1"/>
    <col min="13322" max="13322" width="14.7109375" style="502" customWidth="1"/>
    <col min="13323" max="13323" width="11.5703125" style="502" customWidth="1"/>
    <col min="13324" max="13568" width="9" style="502"/>
    <col min="13569" max="13569" width="4.140625" style="502" customWidth="1"/>
    <col min="13570" max="13570" width="4.28515625" style="502" customWidth="1"/>
    <col min="13571" max="13571" width="13.5703125" style="502" customWidth="1"/>
    <col min="13572" max="13572" width="65" style="502" customWidth="1"/>
    <col min="13573" max="13573" width="6.7109375" style="502" customWidth="1"/>
    <col min="13574" max="13574" width="8.42578125" style="502" customWidth="1"/>
    <col min="13575" max="13575" width="10" style="502" customWidth="1"/>
    <col min="13576" max="13576" width="15.7109375" style="502" customWidth="1"/>
    <col min="13577" max="13577" width="17" style="502" customWidth="1"/>
    <col min="13578" max="13578" width="14.7109375" style="502" customWidth="1"/>
    <col min="13579" max="13579" width="11.5703125" style="502" customWidth="1"/>
    <col min="13580" max="13824" width="9" style="502"/>
    <col min="13825" max="13825" width="4.140625" style="502" customWidth="1"/>
    <col min="13826" max="13826" width="4.28515625" style="502" customWidth="1"/>
    <col min="13827" max="13827" width="13.5703125" style="502" customWidth="1"/>
    <col min="13828" max="13828" width="65" style="502" customWidth="1"/>
    <col min="13829" max="13829" width="6.7109375" style="502" customWidth="1"/>
    <col min="13830" max="13830" width="8.42578125" style="502" customWidth="1"/>
    <col min="13831" max="13831" width="10" style="502" customWidth="1"/>
    <col min="13832" max="13832" width="15.7109375" style="502" customWidth="1"/>
    <col min="13833" max="13833" width="17" style="502" customWidth="1"/>
    <col min="13834" max="13834" width="14.7109375" style="502" customWidth="1"/>
    <col min="13835" max="13835" width="11.5703125" style="502" customWidth="1"/>
    <col min="13836" max="14080" width="9" style="502"/>
    <col min="14081" max="14081" width="4.140625" style="502" customWidth="1"/>
    <col min="14082" max="14082" width="4.28515625" style="502" customWidth="1"/>
    <col min="14083" max="14083" width="13.5703125" style="502" customWidth="1"/>
    <col min="14084" max="14084" width="65" style="502" customWidth="1"/>
    <col min="14085" max="14085" width="6.7109375" style="502" customWidth="1"/>
    <col min="14086" max="14086" width="8.42578125" style="502" customWidth="1"/>
    <col min="14087" max="14087" width="10" style="502" customWidth="1"/>
    <col min="14088" max="14088" width="15.7109375" style="502" customWidth="1"/>
    <col min="14089" max="14089" width="17" style="502" customWidth="1"/>
    <col min="14090" max="14090" width="14.7109375" style="502" customWidth="1"/>
    <col min="14091" max="14091" width="11.5703125" style="502" customWidth="1"/>
    <col min="14092" max="14336" width="9" style="502"/>
    <col min="14337" max="14337" width="4.140625" style="502" customWidth="1"/>
    <col min="14338" max="14338" width="4.28515625" style="502" customWidth="1"/>
    <col min="14339" max="14339" width="13.5703125" style="502" customWidth="1"/>
    <col min="14340" max="14340" width="65" style="502" customWidth="1"/>
    <col min="14341" max="14341" width="6.7109375" style="502" customWidth="1"/>
    <col min="14342" max="14342" width="8.42578125" style="502" customWidth="1"/>
    <col min="14343" max="14343" width="10" style="502" customWidth="1"/>
    <col min="14344" max="14344" width="15.7109375" style="502" customWidth="1"/>
    <col min="14345" max="14345" width="17" style="502" customWidth="1"/>
    <col min="14346" max="14346" width="14.7109375" style="502" customWidth="1"/>
    <col min="14347" max="14347" width="11.5703125" style="502" customWidth="1"/>
    <col min="14348" max="14592" width="9" style="502"/>
    <col min="14593" max="14593" width="4.140625" style="502" customWidth="1"/>
    <col min="14594" max="14594" width="4.28515625" style="502" customWidth="1"/>
    <col min="14595" max="14595" width="13.5703125" style="502" customWidth="1"/>
    <col min="14596" max="14596" width="65" style="502" customWidth="1"/>
    <col min="14597" max="14597" width="6.7109375" style="502" customWidth="1"/>
    <col min="14598" max="14598" width="8.42578125" style="502" customWidth="1"/>
    <col min="14599" max="14599" width="10" style="502" customWidth="1"/>
    <col min="14600" max="14600" width="15.7109375" style="502" customWidth="1"/>
    <col min="14601" max="14601" width="17" style="502" customWidth="1"/>
    <col min="14602" max="14602" width="14.7109375" style="502" customWidth="1"/>
    <col min="14603" max="14603" width="11.5703125" style="502" customWidth="1"/>
    <col min="14604" max="14848" width="9" style="502"/>
    <col min="14849" max="14849" width="4.140625" style="502" customWidth="1"/>
    <col min="14850" max="14850" width="4.28515625" style="502" customWidth="1"/>
    <col min="14851" max="14851" width="13.5703125" style="502" customWidth="1"/>
    <col min="14852" max="14852" width="65" style="502" customWidth="1"/>
    <col min="14853" max="14853" width="6.7109375" style="502" customWidth="1"/>
    <col min="14854" max="14854" width="8.42578125" style="502" customWidth="1"/>
    <col min="14855" max="14855" width="10" style="502" customWidth="1"/>
    <col min="14856" max="14856" width="15.7109375" style="502" customWidth="1"/>
    <col min="14857" max="14857" width="17" style="502" customWidth="1"/>
    <col min="14858" max="14858" width="14.7109375" style="502" customWidth="1"/>
    <col min="14859" max="14859" width="11.5703125" style="502" customWidth="1"/>
    <col min="14860" max="15104" width="9" style="502"/>
    <col min="15105" max="15105" width="4.140625" style="502" customWidth="1"/>
    <col min="15106" max="15106" width="4.28515625" style="502" customWidth="1"/>
    <col min="15107" max="15107" width="13.5703125" style="502" customWidth="1"/>
    <col min="15108" max="15108" width="65" style="502" customWidth="1"/>
    <col min="15109" max="15109" width="6.7109375" style="502" customWidth="1"/>
    <col min="15110" max="15110" width="8.42578125" style="502" customWidth="1"/>
    <col min="15111" max="15111" width="10" style="502" customWidth="1"/>
    <col min="15112" max="15112" width="15.7109375" style="502" customWidth="1"/>
    <col min="15113" max="15113" width="17" style="502" customWidth="1"/>
    <col min="15114" max="15114" width="14.7109375" style="502" customWidth="1"/>
    <col min="15115" max="15115" width="11.5703125" style="502" customWidth="1"/>
    <col min="15116" max="15360" width="9" style="502"/>
    <col min="15361" max="15361" width="4.140625" style="502" customWidth="1"/>
    <col min="15362" max="15362" width="4.28515625" style="502" customWidth="1"/>
    <col min="15363" max="15363" width="13.5703125" style="502" customWidth="1"/>
    <col min="15364" max="15364" width="65" style="502" customWidth="1"/>
    <col min="15365" max="15365" width="6.7109375" style="502" customWidth="1"/>
    <col min="15366" max="15366" width="8.42578125" style="502" customWidth="1"/>
    <col min="15367" max="15367" width="10" style="502" customWidth="1"/>
    <col min="15368" max="15368" width="15.7109375" style="502" customWidth="1"/>
    <col min="15369" max="15369" width="17" style="502" customWidth="1"/>
    <col min="15370" max="15370" width="14.7109375" style="502" customWidth="1"/>
    <col min="15371" max="15371" width="11.5703125" style="502" customWidth="1"/>
    <col min="15372" max="15616" width="9" style="502"/>
    <col min="15617" max="15617" width="4.140625" style="502" customWidth="1"/>
    <col min="15618" max="15618" width="4.28515625" style="502" customWidth="1"/>
    <col min="15619" max="15619" width="13.5703125" style="502" customWidth="1"/>
    <col min="15620" max="15620" width="65" style="502" customWidth="1"/>
    <col min="15621" max="15621" width="6.7109375" style="502" customWidth="1"/>
    <col min="15622" max="15622" width="8.42578125" style="502" customWidth="1"/>
    <col min="15623" max="15623" width="10" style="502" customWidth="1"/>
    <col min="15624" max="15624" width="15.7109375" style="502" customWidth="1"/>
    <col min="15625" max="15625" width="17" style="502" customWidth="1"/>
    <col min="15626" max="15626" width="14.7109375" style="502" customWidth="1"/>
    <col min="15627" max="15627" width="11.5703125" style="502" customWidth="1"/>
    <col min="15628" max="15872" width="9" style="502"/>
    <col min="15873" max="15873" width="4.140625" style="502" customWidth="1"/>
    <col min="15874" max="15874" width="4.28515625" style="502" customWidth="1"/>
    <col min="15875" max="15875" width="13.5703125" style="502" customWidth="1"/>
    <col min="15876" max="15876" width="65" style="502" customWidth="1"/>
    <col min="15877" max="15877" width="6.7109375" style="502" customWidth="1"/>
    <col min="15878" max="15878" width="8.42578125" style="502" customWidth="1"/>
    <col min="15879" max="15879" width="10" style="502" customWidth="1"/>
    <col min="15880" max="15880" width="15.7109375" style="502" customWidth="1"/>
    <col min="15881" max="15881" width="17" style="502" customWidth="1"/>
    <col min="15882" max="15882" width="14.7109375" style="502" customWidth="1"/>
    <col min="15883" max="15883" width="11.5703125" style="502" customWidth="1"/>
    <col min="15884" max="16128" width="9" style="502"/>
    <col min="16129" max="16129" width="4.140625" style="502" customWidth="1"/>
    <col min="16130" max="16130" width="4.28515625" style="502" customWidth="1"/>
    <col min="16131" max="16131" width="13.5703125" style="502" customWidth="1"/>
    <col min="16132" max="16132" width="65" style="502" customWidth="1"/>
    <col min="16133" max="16133" width="6.7109375" style="502" customWidth="1"/>
    <col min="16134" max="16134" width="8.42578125" style="502" customWidth="1"/>
    <col min="16135" max="16135" width="10" style="502" customWidth="1"/>
    <col min="16136" max="16136" width="15.7109375" style="502" customWidth="1"/>
    <col min="16137" max="16137" width="17" style="502" customWidth="1"/>
    <col min="16138" max="16138" width="14.7109375" style="502" customWidth="1"/>
    <col min="16139" max="16139" width="11.5703125" style="502" customWidth="1"/>
    <col min="16140" max="16384" width="9" style="502"/>
  </cols>
  <sheetData>
    <row r="1" spans="1:125" s="314" customFormat="1" ht="20.25" customHeight="1">
      <c r="A1" s="119" t="s">
        <v>839</v>
      </c>
      <c r="B1" s="22"/>
      <c r="C1" s="22"/>
      <c r="D1" s="22"/>
      <c r="E1" s="22"/>
      <c r="F1" s="22"/>
      <c r="G1" s="22"/>
      <c r="H1" s="22"/>
      <c r="I1" s="313"/>
      <c r="J1" s="389"/>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c r="AS1" s="313"/>
      <c r="AT1" s="313"/>
      <c r="AU1" s="313"/>
      <c r="AV1" s="313"/>
      <c r="AW1" s="313"/>
      <c r="AX1" s="313"/>
      <c r="AY1" s="313"/>
      <c r="AZ1" s="313"/>
      <c r="BA1" s="313"/>
      <c r="BB1" s="313"/>
      <c r="BC1" s="313"/>
      <c r="BD1" s="313"/>
      <c r="BE1" s="313"/>
      <c r="BF1" s="313"/>
      <c r="BG1" s="313"/>
      <c r="BH1" s="313"/>
      <c r="BI1" s="313"/>
      <c r="BJ1" s="313"/>
      <c r="BK1" s="313"/>
      <c r="BL1" s="313"/>
      <c r="BM1" s="313"/>
      <c r="BN1" s="313"/>
      <c r="BO1" s="313"/>
      <c r="BP1" s="313"/>
      <c r="BQ1" s="313"/>
      <c r="BR1" s="313"/>
      <c r="BS1" s="313"/>
      <c r="BT1" s="313"/>
      <c r="BU1" s="313"/>
      <c r="BV1" s="313"/>
      <c r="BW1" s="313"/>
      <c r="BX1" s="313"/>
      <c r="BY1" s="313"/>
      <c r="BZ1" s="313"/>
      <c r="CA1" s="313"/>
      <c r="CB1" s="313"/>
      <c r="CC1" s="313"/>
      <c r="CD1" s="313"/>
      <c r="CE1" s="313"/>
      <c r="CF1" s="313"/>
      <c r="CG1" s="313"/>
      <c r="CH1" s="313"/>
      <c r="CI1" s="313"/>
      <c r="CJ1" s="313"/>
      <c r="CK1" s="313"/>
      <c r="CL1" s="313"/>
      <c r="CM1" s="313"/>
      <c r="CN1" s="313"/>
      <c r="CO1" s="313"/>
      <c r="CP1" s="313"/>
      <c r="CQ1" s="313"/>
      <c r="CR1" s="313"/>
      <c r="CS1" s="313"/>
      <c r="CT1" s="313"/>
      <c r="CU1" s="313"/>
      <c r="CV1" s="313"/>
      <c r="CW1" s="313"/>
      <c r="CX1" s="313"/>
      <c r="CY1" s="313"/>
      <c r="CZ1" s="313"/>
      <c r="DA1" s="313"/>
      <c r="DB1" s="313"/>
      <c r="DC1" s="313"/>
      <c r="DD1" s="313"/>
      <c r="DE1" s="313"/>
      <c r="DF1" s="313"/>
      <c r="DG1" s="313"/>
      <c r="DH1" s="313"/>
      <c r="DI1" s="313"/>
      <c r="DJ1" s="313"/>
      <c r="DK1" s="313"/>
      <c r="DL1" s="313"/>
      <c r="DM1" s="313"/>
      <c r="DN1" s="313"/>
      <c r="DO1" s="313"/>
      <c r="DP1" s="313"/>
      <c r="DQ1" s="313"/>
      <c r="DR1" s="313"/>
      <c r="DS1" s="313"/>
      <c r="DT1" s="313"/>
      <c r="DU1" s="313"/>
    </row>
    <row r="2" spans="1:125" s="314" customFormat="1" ht="13.5" customHeight="1">
      <c r="A2" s="142" t="s">
        <v>731</v>
      </c>
      <c r="B2" s="315"/>
      <c r="C2" s="315"/>
      <c r="D2" s="315"/>
      <c r="E2" s="23"/>
      <c r="F2" s="23"/>
      <c r="G2" s="22"/>
      <c r="H2" s="22"/>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c r="AS2" s="313"/>
      <c r="AT2" s="313"/>
      <c r="AU2" s="313"/>
      <c r="AV2" s="313"/>
      <c r="AW2" s="313"/>
      <c r="AX2" s="313"/>
      <c r="AY2" s="313"/>
      <c r="AZ2" s="313"/>
      <c r="BA2" s="313"/>
      <c r="BB2" s="313"/>
      <c r="BC2" s="313"/>
      <c r="BD2" s="313"/>
      <c r="BE2" s="313"/>
      <c r="BF2" s="313"/>
      <c r="BG2" s="313"/>
      <c r="BH2" s="313"/>
      <c r="BI2" s="313"/>
      <c r="BJ2" s="313"/>
      <c r="BK2" s="313"/>
      <c r="BL2" s="313"/>
      <c r="BM2" s="313"/>
      <c r="BN2" s="313"/>
      <c r="BO2" s="313"/>
      <c r="BP2" s="313"/>
      <c r="BQ2" s="313"/>
      <c r="BR2" s="313"/>
      <c r="BS2" s="313"/>
      <c r="BT2" s="313"/>
      <c r="BU2" s="313"/>
      <c r="BV2" s="313"/>
      <c r="BW2" s="313"/>
      <c r="BX2" s="313"/>
      <c r="BY2" s="313"/>
      <c r="BZ2" s="313"/>
      <c r="CA2" s="313"/>
      <c r="CB2" s="313"/>
      <c r="CC2" s="313"/>
      <c r="CD2" s="313"/>
      <c r="CE2" s="313"/>
      <c r="CF2" s="313"/>
      <c r="CG2" s="313"/>
      <c r="CH2" s="313"/>
      <c r="CI2" s="313"/>
      <c r="CJ2" s="313"/>
      <c r="CK2" s="313"/>
      <c r="CL2" s="313"/>
      <c r="CM2" s="313"/>
      <c r="CN2" s="313"/>
      <c r="CO2" s="313"/>
      <c r="CP2" s="313"/>
      <c r="CQ2" s="313"/>
      <c r="CR2" s="313"/>
      <c r="CS2" s="313"/>
      <c r="CT2" s="313"/>
      <c r="CU2" s="313"/>
      <c r="CV2" s="313"/>
      <c r="CW2" s="313"/>
      <c r="CX2" s="313"/>
      <c r="CY2" s="313"/>
      <c r="CZ2" s="313"/>
      <c r="DA2" s="313"/>
      <c r="DB2" s="313"/>
      <c r="DC2" s="313"/>
      <c r="DD2" s="313"/>
      <c r="DE2" s="313"/>
      <c r="DF2" s="313"/>
      <c r="DG2" s="313"/>
      <c r="DH2" s="313"/>
      <c r="DI2" s="313"/>
      <c r="DJ2" s="313"/>
      <c r="DK2" s="313"/>
      <c r="DL2" s="313"/>
      <c r="DM2" s="313"/>
      <c r="DN2" s="313"/>
      <c r="DO2" s="313"/>
      <c r="DP2" s="313"/>
      <c r="DQ2" s="313"/>
      <c r="DR2" s="313"/>
      <c r="DS2" s="313"/>
      <c r="DT2" s="313"/>
      <c r="DU2" s="313"/>
    </row>
    <row r="3" spans="1:125" s="314" customFormat="1" ht="12.75" customHeight="1">
      <c r="A3" s="142" t="s">
        <v>366</v>
      </c>
      <c r="B3" s="315"/>
      <c r="C3" s="315"/>
      <c r="D3" s="315"/>
      <c r="E3" s="23"/>
      <c r="F3" s="23"/>
      <c r="G3" s="22"/>
      <c r="H3" s="22"/>
      <c r="I3" s="313"/>
      <c r="J3" s="11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c r="AP3" s="313"/>
      <c r="AQ3" s="313"/>
      <c r="AR3" s="313"/>
      <c r="AS3" s="313"/>
      <c r="AT3" s="313"/>
      <c r="AU3" s="313"/>
      <c r="AV3" s="313"/>
      <c r="AW3" s="313"/>
      <c r="AX3" s="313"/>
      <c r="AY3" s="313"/>
      <c r="AZ3" s="313"/>
      <c r="BA3" s="313"/>
      <c r="BB3" s="313"/>
      <c r="BC3" s="313"/>
      <c r="BD3" s="313"/>
      <c r="BE3" s="313"/>
      <c r="BF3" s="313"/>
      <c r="BG3" s="313"/>
      <c r="BH3" s="313"/>
      <c r="BI3" s="313"/>
      <c r="BJ3" s="313"/>
      <c r="BK3" s="313"/>
      <c r="BL3" s="313"/>
      <c r="BM3" s="313"/>
      <c r="BN3" s="313"/>
      <c r="BO3" s="313"/>
      <c r="BP3" s="313"/>
      <c r="BQ3" s="313"/>
      <c r="BR3" s="313"/>
      <c r="BS3" s="313"/>
      <c r="BT3" s="313"/>
      <c r="BU3" s="313"/>
      <c r="BV3" s="313"/>
      <c r="BW3" s="313"/>
      <c r="BX3" s="313"/>
      <c r="BY3" s="313"/>
      <c r="BZ3" s="313"/>
      <c r="CA3" s="313"/>
      <c r="CB3" s="313"/>
      <c r="CC3" s="313"/>
      <c r="CD3" s="313"/>
      <c r="CE3" s="313"/>
      <c r="CF3" s="313"/>
      <c r="CG3" s="313"/>
      <c r="CH3" s="313"/>
      <c r="CI3" s="313"/>
      <c r="CJ3" s="313"/>
      <c r="CK3" s="313"/>
      <c r="CL3" s="313"/>
      <c r="CM3" s="313"/>
      <c r="CN3" s="313"/>
      <c r="CO3" s="313"/>
      <c r="CP3" s="313"/>
      <c r="CQ3" s="313"/>
      <c r="CR3" s="313"/>
      <c r="CS3" s="313"/>
      <c r="CT3" s="313"/>
      <c r="CU3" s="313"/>
      <c r="CV3" s="313"/>
      <c r="CW3" s="313"/>
      <c r="CX3" s="313"/>
      <c r="CY3" s="313"/>
      <c r="CZ3" s="313"/>
      <c r="DA3" s="313"/>
      <c r="DB3" s="313"/>
      <c r="DC3" s="313"/>
      <c r="DD3" s="313"/>
      <c r="DE3" s="313"/>
      <c r="DF3" s="313"/>
      <c r="DG3" s="313"/>
      <c r="DH3" s="313"/>
      <c r="DI3" s="313"/>
      <c r="DJ3" s="313"/>
      <c r="DK3" s="313"/>
      <c r="DL3" s="313"/>
      <c r="DM3" s="313"/>
      <c r="DN3" s="313"/>
      <c r="DO3" s="313"/>
      <c r="DP3" s="313"/>
      <c r="DQ3" s="313"/>
      <c r="DR3" s="313"/>
      <c r="DS3" s="313"/>
      <c r="DT3" s="313"/>
      <c r="DU3" s="313"/>
    </row>
    <row r="4" spans="1:125" s="314" customFormat="1" ht="12.75" customHeight="1">
      <c r="A4" s="27" t="s">
        <v>91</v>
      </c>
      <c r="B4" s="316"/>
      <c r="C4" s="316"/>
      <c r="D4" s="316"/>
      <c r="E4" s="23"/>
      <c r="F4" s="23"/>
      <c r="G4" s="22"/>
      <c r="H4" s="22"/>
      <c r="I4" s="313"/>
      <c r="J4" s="11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c r="AQ4" s="313"/>
      <c r="AR4" s="313"/>
      <c r="AS4" s="313"/>
      <c r="AT4" s="313"/>
      <c r="AU4" s="313"/>
      <c r="AV4" s="313"/>
      <c r="AW4" s="313"/>
      <c r="AX4" s="313"/>
      <c r="AY4" s="313"/>
      <c r="AZ4" s="313"/>
      <c r="BA4" s="313"/>
      <c r="BB4" s="313"/>
      <c r="BC4" s="313"/>
      <c r="BD4" s="313"/>
      <c r="BE4" s="313"/>
      <c r="BF4" s="313"/>
      <c r="BG4" s="313"/>
      <c r="BH4" s="313"/>
      <c r="BI4" s="313"/>
      <c r="BJ4" s="313"/>
      <c r="BK4" s="313"/>
      <c r="BL4" s="313"/>
      <c r="BM4" s="313"/>
      <c r="BN4" s="313"/>
      <c r="BO4" s="313"/>
      <c r="BP4" s="313"/>
      <c r="BQ4" s="313"/>
      <c r="BR4" s="313"/>
      <c r="BS4" s="313"/>
      <c r="BT4" s="313"/>
      <c r="BU4" s="313"/>
      <c r="BV4" s="313"/>
      <c r="BW4" s="313"/>
      <c r="BX4" s="313"/>
      <c r="BY4" s="313"/>
      <c r="BZ4" s="313"/>
      <c r="CA4" s="313"/>
      <c r="CB4" s="313"/>
      <c r="CC4" s="313"/>
      <c r="CD4" s="313"/>
      <c r="CE4" s="313"/>
      <c r="CF4" s="313"/>
      <c r="CG4" s="313"/>
      <c r="CH4" s="313"/>
      <c r="CI4" s="313"/>
      <c r="CJ4" s="313"/>
      <c r="CK4" s="313"/>
      <c r="CL4" s="313"/>
      <c r="CM4" s="313"/>
      <c r="CN4" s="313"/>
      <c r="CO4" s="313"/>
      <c r="CP4" s="313"/>
      <c r="CQ4" s="313"/>
      <c r="CR4" s="313"/>
      <c r="CS4" s="313"/>
      <c r="CT4" s="313"/>
      <c r="CU4" s="313"/>
      <c r="CV4" s="313"/>
      <c r="CW4" s="313"/>
      <c r="CX4" s="313"/>
      <c r="CY4" s="313"/>
      <c r="CZ4" s="313"/>
      <c r="DA4" s="313"/>
      <c r="DB4" s="313"/>
      <c r="DC4" s="313"/>
      <c r="DD4" s="313"/>
      <c r="DE4" s="313"/>
      <c r="DF4" s="313"/>
      <c r="DG4" s="313"/>
      <c r="DH4" s="313"/>
      <c r="DI4" s="313"/>
      <c r="DJ4" s="313"/>
      <c r="DK4" s="313"/>
      <c r="DL4" s="313"/>
      <c r="DM4" s="313"/>
      <c r="DN4" s="313"/>
      <c r="DO4" s="313"/>
      <c r="DP4" s="313"/>
      <c r="DQ4" s="313"/>
      <c r="DR4" s="313"/>
      <c r="DS4" s="313"/>
      <c r="DT4" s="313"/>
      <c r="DU4" s="313"/>
    </row>
    <row r="5" spans="1:125" s="314" customFormat="1" ht="12.75" customHeight="1">
      <c r="A5" s="23" t="s">
        <v>167</v>
      </c>
      <c r="B5" s="23"/>
      <c r="C5" s="23"/>
      <c r="D5" s="23"/>
      <c r="E5" s="23"/>
      <c r="F5" s="23"/>
      <c r="G5" s="22"/>
      <c r="H5" s="22"/>
      <c r="I5" s="313"/>
      <c r="J5" s="11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c r="AW5" s="313"/>
      <c r="AX5" s="313"/>
      <c r="AY5" s="313"/>
      <c r="AZ5" s="313"/>
      <c r="BA5" s="313"/>
      <c r="BB5" s="313"/>
      <c r="BC5" s="313"/>
      <c r="BD5" s="313"/>
      <c r="BE5" s="313"/>
      <c r="BF5" s="313"/>
      <c r="BG5" s="313"/>
      <c r="BH5" s="313"/>
      <c r="BI5" s="313"/>
      <c r="BJ5" s="313"/>
      <c r="BK5" s="313"/>
      <c r="BL5" s="313"/>
      <c r="BM5" s="313"/>
      <c r="BN5" s="313"/>
      <c r="BO5" s="313"/>
      <c r="BP5" s="313"/>
      <c r="BQ5" s="313"/>
      <c r="BR5" s="313"/>
      <c r="BS5" s="313"/>
      <c r="BT5" s="313"/>
      <c r="BU5" s="313"/>
      <c r="BV5" s="313"/>
      <c r="BW5" s="313"/>
      <c r="BX5" s="313"/>
      <c r="BY5" s="313"/>
      <c r="BZ5" s="313"/>
      <c r="CA5" s="313"/>
      <c r="CB5" s="313"/>
      <c r="CC5" s="313"/>
      <c r="CD5" s="313"/>
      <c r="CE5" s="313"/>
      <c r="CF5" s="313"/>
      <c r="CG5" s="313"/>
      <c r="CH5" s="313"/>
      <c r="CI5" s="313"/>
      <c r="CJ5" s="313"/>
      <c r="CK5" s="313"/>
      <c r="CL5" s="313"/>
      <c r="CM5" s="313"/>
      <c r="CN5" s="313"/>
      <c r="CO5" s="313"/>
      <c r="CP5" s="313"/>
      <c r="CQ5" s="313"/>
      <c r="CR5" s="313"/>
      <c r="CS5" s="313"/>
      <c r="CT5" s="313"/>
      <c r="CU5" s="313"/>
      <c r="CV5" s="313"/>
      <c r="CW5" s="313"/>
      <c r="CX5" s="313"/>
      <c r="CY5" s="313"/>
      <c r="CZ5" s="313"/>
      <c r="DA5" s="313"/>
      <c r="DB5" s="313"/>
      <c r="DC5" s="313"/>
      <c r="DD5" s="313"/>
      <c r="DE5" s="313"/>
      <c r="DF5" s="313"/>
      <c r="DG5" s="313"/>
      <c r="DH5" s="313"/>
      <c r="DI5" s="313"/>
      <c r="DJ5" s="313"/>
      <c r="DK5" s="313"/>
      <c r="DL5" s="313"/>
      <c r="DM5" s="313"/>
      <c r="DN5" s="313"/>
      <c r="DO5" s="313"/>
      <c r="DP5" s="313"/>
      <c r="DQ5" s="313"/>
      <c r="DR5" s="313"/>
      <c r="DS5" s="313"/>
      <c r="DT5" s="313"/>
      <c r="DU5" s="313"/>
    </row>
    <row r="6" spans="1:125" s="314" customFormat="1" ht="12.75" customHeight="1">
      <c r="A6" s="23"/>
      <c r="B6" s="23"/>
      <c r="C6" s="23"/>
      <c r="D6" s="23"/>
      <c r="E6" s="23"/>
      <c r="F6" s="23"/>
      <c r="G6" s="22"/>
      <c r="H6" s="22"/>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c r="AM6" s="313"/>
      <c r="AN6" s="313"/>
      <c r="AO6" s="313"/>
      <c r="AP6" s="313"/>
      <c r="AQ6" s="313"/>
      <c r="AR6" s="313"/>
      <c r="AS6" s="313"/>
      <c r="AT6" s="313"/>
      <c r="AU6" s="313"/>
      <c r="AV6" s="313"/>
      <c r="AW6" s="313"/>
      <c r="AX6" s="313"/>
      <c r="AY6" s="313"/>
      <c r="AZ6" s="313"/>
      <c r="BA6" s="313"/>
      <c r="BB6" s="313"/>
      <c r="BC6" s="313"/>
      <c r="BD6" s="313"/>
      <c r="BE6" s="313"/>
      <c r="BF6" s="313"/>
      <c r="BG6" s="313"/>
      <c r="BH6" s="313"/>
      <c r="BI6" s="313"/>
      <c r="BJ6" s="313"/>
      <c r="BK6" s="313"/>
      <c r="BL6" s="313"/>
      <c r="BM6" s="313"/>
      <c r="BN6" s="313"/>
      <c r="BO6" s="313"/>
      <c r="BP6" s="313"/>
      <c r="BQ6" s="313"/>
      <c r="BR6" s="313"/>
      <c r="BS6" s="313"/>
      <c r="BT6" s="313"/>
      <c r="BU6" s="313"/>
      <c r="BV6" s="313"/>
      <c r="BW6" s="313"/>
      <c r="BX6" s="313"/>
      <c r="BY6" s="313"/>
      <c r="BZ6" s="313"/>
      <c r="CA6" s="313"/>
      <c r="CB6" s="313"/>
      <c r="CC6" s="313"/>
      <c r="CD6" s="313"/>
      <c r="CE6" s="313"/>
      <c r="CF6" s="313"/>
      <c r="CG6" s="313"/>
      <c r="CH6" s="313"/>
      <c r="CI6" s="313"/>
      <c r="CJ6" s="313"/>
      <c r="CK6" s="313"/>
      <c r="CL6" s="313"/>
      <c r="CM6" s="313"/>
      <c r="CN6" s="313"/>
      <c r="CO6" s="313"/>
      <c r="CP6" s="313"/>
      <c r="CQ6" s="313"/>
      <c r="CR6" s="313"/>
      <c r="CS6" s="313"/>
      <c r="CT6" s="313"/>
      <c r="CU6" s="313"/>
      <c r="CV6" s="313"/>
      <c r="CW6" s="313"/>
      <c r="CX6" s="313"/>
      <c r="CY6" s="313"/>
      <c r="CZ6" s="313"/>
      <c r="DA6" s="313"/>
      <c r="DB6" s="313"/>
      <c r="DC6" s="313"/>
      <c r="DD6" s="313"/>
      <c r="DE6" s="313"/>
      <c r="DF6" s="313"/>
      <c r="DG6" s="313"/>
      <c r="DH6" s="313"/>
      <c r="DI6" s="313"/>
      <c r="DJ6" s="313"/>
      <c r="DK6" s="313"/>
      <c r="DL6" s="313"/>
      <c r="DM6" s="313"/>
      <c r="DN6" s="313"/>
      <c r="DO6" s="313"/>
      <c r="DP6" s="313"/>
      <c r="DQ6" s="313"/>
      <c r="DR6" s="313"/>
      <c r="DS6" s="313"/>
      <c r="DT6" s="313"/>
      <c r="DU6" s="313"/>
    </row>
    <row r="7" spans="1:125" s="314" customFormat="1" ht="24.75" customHeight="1">
      <c r="A7" s="24" t="s">
        <v>71</v>
      </c>
      <c r="B7" s="24" t="s">
        <v>72</v>
      </c>
      <c r="C7" s="24" t="s">
        <v>73</v>
      </c>
      <c r="D7" s="24" t="s">
        <v>74</v>
      </c>
      <c r="E7" s="24" t="s">
        <v>75</v>
      </c>
      <c r="F7" s="24" t="s">
        <v>76</v>
      </c>
      <c r="G7" s="24" t="s">
        <v>77</v>
      </c>
      <c r="H7" s="24" t="s">
        <v>16</v>
      </c>
      <c r="I7" s="24" t="s">
        <v>30</v>
      </c>
      <c r="J7" s="317"/>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c r="AW7" s="313"/>
      <c r="AX7" s="313"/>
      <c r="AY7" s="313"/>
      <c r="AZ7" s="313"/>
      <c r="BA7" s="313"/>
      <c r="BB7" s="313"/>
      <c r="BC7" s="313"/>
      <c r="BD7" s="313"/>
      <c r="BE7" s="313"/>
      <c r="BF7" s="313"/>
      <c r="BG7" s="313"/>
      <c r="BH7" s="313"/>
      <c r="BI7" s="313"/>
      <c r="BJ7" s="313"/>
      <c r="BK7" s="313"/>
      <c r="BL7" s="313"/>
      <c r="BM7" s="313"/>
      <c r="BN7" s="313"/>
      <c r="BO7" s="313"/>
      <c r="BP7" s="313"/>
      <c r="BQ7" s="313"/>
      <c r="BR7" s="313"/>
      <c r="BS7" s="313"/>
      <c r="BT7" s="313"/>
      <c r="BU7" s="313"/>
      <c r="BV7" s="313"/>
      <c r="BW7" s="313"/>
      <c r="BX7" s="313"/>
      <c r="BY7" s="313"/>
      <c r="BZ7" s="313"/>
      <c r="CA7" s="313"/>
      <c r="CB7" s="313"/>
      <c r="CC7" s="313"/>
      <c r="CD7" s="313"/>
      <c r="CE7" s="313"/>
      <c r="CF7" s="313"/>
      <c r="CG7" s="313"/>
      <c r="CH7" s="313"/>
      <c r="CI7" s="313"/>
      <c r="CJ7" s="313"/>
      <c r="CK7" s="313"/>
      <c r="CL7" s="313"/>
      <c r="CM7" s="313"/>
      <c r="CN7" s="313"/>
      <c r="CO7" s="313"/>
      <c r="CP7" s="313"/>
      <c r="CQ7" s="313"/>
      <c r="CR7" s="313"/>
      <c r="CS7" s="313"/>
      <c r="CT7" s="313"/>
      <c r="CU7" s="313"/>
      <c r="CV7" s="313"/>
      <c r="CW7" s="313"/>
      <c r="CX7" s="313"/>
      <c r="CY7" s="313"/>
      <c r="CZ7" s="313"/>
      <c r="DA7" s="313"/>
      <c r="DB7" s="313"/>
      <c r="DC7" s="313"/>
      <c r="DD7" s="313"/>
      <c r="DE7" s="313"/>
      <c r="DF7" s="313"/>
      <c r="DG7" s="313"/>
      <c r="DH7" s="313"/>
      <c r="DI7" s="313"/>
      <c r="DJ7" s="313"/>
      <c r="DK7" s="313"/>
      <c r="DL7" s="313"/>
      <c r="DM7" s="313"/>
      <c r="DN7" s="313"/>
      <c r="DO7" s="313"/>
      <c r="DP7" s="313"/>
      <c r="DQ7" s="313"/>
      <c r="DR7" s="313"/>
      <c r="DS7" s="313"/>
      <c r="DT7" s="313"/>
      <c r="DU7" s="313"/>
    </row>
    <row r="8" spans="1:125" s="314" customFormat="1" ht="12.75" customHeight="1">
      <c r="A8" s="24" t="s">
        <v>78</v>
      </c>
      <c r="B8" s="24" t="s">
        <v>79</v>
      </c>
      <c r="C8" s="24" t="s">
        <v>80</v>
      </c>
      <c r="D8" s="24" t="s">
        <v>81</v>
      </c>
      <c r="E8" s="24" t="s">
        <v>82</v>
      </c>
      <c r="F8" s="24" t="s">
        <v>83</v>
      </c>
      <c r="G8" s="24" t="s">
        <v>84</v>
      </c>
      <c r="H8" s="24">
        <v>8</v>
      </c>
      <c r="I8" s="24">
        <v>9</v>
      </c>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c r="AW8" s="313"/>
      <c r="AX8" s="313"/>
      <c r="AY8" s="313"/>
      <c r="AZ8" s="313"/>
      <c r="BA8" s="313"/>
      <c r="BB8" s="313"/>
      <c r="BC8" s="313"/>
      <c r="BD8" s="313"/>
      <c r="BE8" s="313"/>
      <c r="BF8" s="313"/>
      <c r="BG8" s="313"/>
      <c r="BH8" s="313"/>
      <c r="BI8" s="313"/>
      <c r="BJ8" s="313"/>
      <c r="BK8" s="313"/>
      <c r="BL8" s="313"/>
      <c r="BM8" s="313"/>
      <c r="BN8" s="313"/>
      <c r="BO8" s="313"/>
      <c r="BP8" s="313"/>
      <c r="BQ8" s="313"/>
      <c r="BR8" s="313"/>
      <c r="BS8" s="313"/>
      <c r="BT8" s="313"/>
      <c r="BU8" s="313"/>
      <c r="BV8" s="313"/>
      <c r="BW8" s="313"/>
      <c r="BX8" s="313"/>
      <c r="BY8" s="313"/>
      <c r="BZ8" s="313"/>
      <c r="CA8" s="313"/>
      <c r="CB8" s="313"/>
      <c r="CC8" s="313"/>
      <c r="CD8" s="313"/>
      <c r="CE8" s="313"/>
      <c r="CF8" s="313"/>
      <c r="CG8" s="313"/>
      <c r="CH8" s="313"/>
      <c r="CI8" s="313"/>
      <c r="CJ8" s="313"/>
      <c r="CK8" s="313"/>
      <c r="CL8" s="313"/>
      <c r="CM8" s="313"/>
      <c r="CN8" s="313"/>
      <c r="CO8" s="313"/>
      <c r="CP8" s="313"/>
      <c r="CQ8" s="313"/>
      <c r="CR8" s="313"/>
      <c r="CS8" s="313"/>
      <c r="CT8" s="313"/>
      <c r="CU8" s="313"/>
      <c r="CV8" s="313"/>
      <c r="CW8" s="313"/>
      <c r="CX8" s="313"/>
      <c r="CY8" s="313"/>
      <c r="CZ8" s="313"/>
      <c r="DA8" s="313"/>
      <c r="DB8" s="313"/>
      <c r="DC8" s="313"/>
      <c r="DD8" s="313"/>
      <c r="DE8" s="313"/>
      <c r="DF8" s="313"/>
      <c r="DG8" s="313"/>
      <c r="DH8" s="313"/>
      <c r="DI8" s="313"/>
      <c r="DJ8" s="313"/>
      <c r="DK8" s="313"/>
      <c r="DL8" s="313"/>
      <c r="DM8" s="313"/>
      <c r="DN8" s="313"/>
      <c r="DO8" s="313"/>
      <c r="DP8" s="313"/>
      <c r="DQ8" s="313"/>
      <c r="DR8" s="313"/>
      <c r="DS8" s="313"/>
      <c r="DT8" s="313"/>
      <c r="DU8" s="313"/>
    </row>
    <row r="9" spans="1:125" s="314" customFormat="1" ht="21" customHeight="1">
      <c r="A9" s="318"/>
      <c r="B9" s="319"/>
      <c r="C9" s="319" t="s">
        <v>93</v>
      </c>
      <c r="D9" s="319" t="s">
        <v>94</v>
      </c>
      <c r="E9" s="319"/>
      <c r="F9" s="320"/>
      <c r="G9" s="321"/>
      <c r="H9" s="321">
        <f>H10+H17+H51</f>
        <v>0</v>
      </c>
      <c r="I9" s="313"/>
      <c r="J9" s="322"/>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c r="AW9" s="313"/>
      <c r="AX9" s="313"/>
      <c r="AY9" s="313"/>
      <c r="AZ9" s="313"/>
      <c r="BA9" s="313"/>
      <c r="BB9" s="313"/>
      <c r="BC9" s="313"/>
      <c r="BD9" s="313"/>
      <c r="BE9" s="313"/>
      <c r="BF9" s="313"/>
      <c r="BG9" s="313"/>
      <c r="BH9" s="313"/>
      <c r="BI9" s="313"/>
      <c r="BJ9" s="313"/>
      <c r="BK9" s="313"/>
      <c r="BL9" s="313"/>
      <c r="BM9" s="313"/>
      <c r="BN9" s="313"/>
      <c r="BO9" s="313"/>
      <c r="BP9" s="313"/>
      <c r="BQ9" s="313"/>
      <c r="BR9" s="313"/>
      <c r="BS9" s="313"/>
      <c r="BT9" s="313"/>
      <c r="BU9" s="313"/>
      <c r="BV9" s="313"/>
      <c r="BW9" s="313"/>
      <c r="BX9" s="313"/>
      <c r="BY9" s="313"/>
      <c r="BZ9" s="313"/>
      <c r="CA9" s="313"/>
      <c r="CB9" s="313"/>
      <c r="CC9" s="313"/>
      <c r="CD9" s="313"/>
      <c r="CE9" s="313"/>
      <c r="CF9" s="313"/>
      <c r="CG9" s="313"/>
      <c r="CH9" s="313"/>
      <c r="CI9" s="313"/>
      <c r="CJ9" s="313"/>
      <c r="CK9" s="313"/>
      <c r="CL9" s="313"/>
      <c r="CM9" s="313"/>
      <c r="CN9" s="313"/>
      <c r="CO9" s="313"/>
      <c r="CP9" s="313"/>
      <c r="CQ9" s="313"/>
      <c r="CR9" s="313"/>
      <c r="CS9" s="313"/>
      <c r="CT9" s="313"/>
      <c r="CU9" s="313"/>
      <c r="CV9" s="313"/>
      <c r="CW9" s="313"/>
      <c r="CX9" s="313"/>
      <c r="CY9" s="313"/>
      <c r="CZ9" s="313"/>
      <c r="DA9" s="313"/>
      <c r="DB9" s="313"/>
      <c r="DC9" s="313"/>
      <c r="DD9" s="313"/>
      <c r="DE9" s="313"/>
      <c r="DF9" s="313"/>
      <c r="DG9" s="313"/>
      <c r="DH9" s="313"/>
      <c r="DI9" s="313"/>
      <c r="DJ9" s="313"/>
      <c r="DK9" s="313"/>
      <c r="DL9" s="313"/>
      <c r="DM9" s="313"/>
      <c r="DN9" s="313"/>
      <c r="DO9" s="313"/>
      <c r="DP9" s="313"/>
      <c r="DQ9" s="313"/>
      <c r="DR9" s="313"/>
      <c r="DS9" s="313"/>
      <c r="DT9" s="313"/>
      <c r="DU9" s="313"/>
    </row>
    <row r="10" spans="1:125" s="314" customFormat="1" ht="13.5" customHeight="1">
      <c r="A10" s="323"/>
      <c r="B10" s="324"/>
      <c r="C10" s="324">
        <v>1</v>
      </c>
      <c r="D10" s="324" t="s">
        <v>95</v>
      </c>
      <c r="E10" s="324"/>
      <c r="F10" s="325"/>
      <c r="G10" s="326"/>
      <c r="H10" s="326">
        <f>SUM(H11:H16)</f>
        <v>0</v>
      </c>
      <c r="I10" s="327"/>
      <c r="J10" s="328"/>
      <c r="K10" s="328"/>
      <c r="L10" s="328"/>
      <c r="M10" s="328"/>
      <c r="N10" s="328"/>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c r="AW10" s="313"/>
      <c r="AX10" s="313"/>
      <c r="AY10" s="313"/>
      <c r="AZ10" s="313"/>
      <c r="BA10" s="313"/>
      <c r="BB10" s="313"/>
      <c r="BC10" s="313"/>
      <c r="BD10" s="313"/>
      <c r="BE10" s="313"/>
      <c r="BF10" s="313"/>
      <c r="BG10" s="313"/>
      <c r="BH10" s="313"/>
      <c r="BI10" s="313"/>
      <c r="BJ10" s="313"/>
      <c r="BK10" s="313"/>
      <c r="BL10" s="313"/>
      <c r="BM10" s="313"/>
      <c r="BN10" s="313"/>
      <c r="BO10" s="313"/>
      <c r="BP10" s="313"/>
      <c r="BQ10" s="313"/>
      <c r="BR10" s="313"/>
      <c r="BS10" s="313"/>
      <c r="BT10" s="313"/>
      <c r="BU10" s="313"/>
      <c r="BV10" s="313"/>
      <c r="BW10" s="313"/>
      <c r="BX10" s="313"/>
      <c r="BY10" s="313"/>
      <c r="BZ10" s="313"/>
      <c r="CA10" s="313"/>
      <c r="CB10" s="313"/>
      <c r="CC10" s="313"/>
      <c r="CD10" s="313"/>
      <c r="CE10" s="313"/>
      <c r="CF10" s="313"/>
      <c r="CG10" s="313"/>
      <c r="CH10" s="313"/>
      <c r="CI10" s="313"/>
      <c r="CJ10" s="313"/>
      <c r="CK10" s="313"/>
      <c r="CL10" s="313"/>
      <c r="CM10" s="313"/>
      <c r="CN10" s="313"/>
      <c r="CO10" s="313"/>
      <c r="CP10" s="313"/>
      <c r="CQ10" s="313"/>
      <c r="CR10" s="313"/>
      <c r="CS10" s="313"/>
      <c r="CT10" s="313"/>
      <c r="CU10" s="313"/>
      <c r="CV10" s="313"/>
      <c r="CW10" s="313"/>
      <c r="CX10" s="313"/>
      <c r="CY10" s="313"/>
      <c r="CZ10" s="313"/>
      <c r="DA10" s="313"/>
      <c r="DB10" s="313"/>
      <c r="DC10" s="313"/>
      <c r="DD10" s="313"/>
      <c r="DE10" s="313"/>
      <c r="DF10" s="313"/>
      <c r="DG10" s="313"/>
      <c r="DH10" s="313"/>
      <c r="DI10" s="313"/>
      <c r="DJ10" s="313"/>
      <c r="DK10" s="313"/>
      <c r="DL10" s="313"/>
      <c r="DM10" s="313"/>
      <c r="DN10" s="313"/>
      <c r="DO10" s="313"/>
      <c r="DP10" s="313"/>
      <c r="DQ10" s="313"/>
      <c r="DR10" s="313"/>
      <c r="DS10" s="313"/>
      <c r="DT10" s="313"/>
      <c r="DU10" s="313"/>
    </row>
    <row r="11" spans="1:125" s="335" customFormat="1" ht="13.5" customHeight="1">
      <c r="A11" s="329" t="s">
        <v>78</v>
      </c>
      <c r="B11" s="330" t="s">
        <v>96</v>
      </c>
      <c r="C11" s="85">
        <v>174151101</v>
      </c>
      <c r="D11" s="85" t="s">
        <v>161</v>
      </c>
      <c r="E11" s="85" t="s">
        <v>122</v>
      </c>
      <c r="F11" s="35">
        <f>SUM(F12:F12)</f>
        <v>7.98</v>
      </c>
      <c r="G11" s="88"/>
      <c r="H11" s="331">
        <f>F11*G11</f>
        <v>0</v>
      </c>
      <c r="I11" s="332" t="s">
        <v>738</v>
      </c>
      <c r="J11" s="317"/>
      <c r="K11" s="505"/>
      <c r="L11" s="333"/>
      <c r="M11" s="333"/>
      <c r="N11" s="333"/>
      <c r="O11" s="333"/>
      <c r="P11" s="333"/>
      <c r="Q11" s="333"/>
      <c r="R11" s="334"/>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c r="AW11" s="333"/>
      <c r="AX11" s="333"/>
      <c r="AY11" s="333"/>
      <c r="AZ11" s="333"/>
      <c r="BA11" s="333"/>
      <c r="BB11" s="333"/>
      <c r="BC11" s="333"/>
      <c r="BD11" s="333"/>
      <c r="BE11" s="333"/>
      <c r="BF11" s="333"/>
      <c r="BG11" s="333"/>
      <c r="BH11" s="333"/>
      <c r="BI11" s="333"/>
      <c r="BJ11" s="333"/>
      <c r="BK11" s="333"/>
      <c r="BL11" s="333"/>
      <c r="BM11" s="333"/>
      <c r="BN11" s="333"/>
      <c r="BO11" s="333"/>
      <c r="BP11" s="333"/>
      <c r="BQ11" s="333"/>
      <c r="BR11" s="333"/>
      <c r="BS11" s="333"/>
      <c r="BT11" s="333"/>
      <c r="BU11" s="333"/>
      <c r="BV11" s="333"/>
      <c r="BW11" s="333"/>
      <c r="BX11" s="333"/>
      <c r="BY11" s="333"/>
      <c r="BZ11" s="333"/>
      <c r="CA11" s="333"/>
      <c r="CB11" s="333"/>
      <c r="CC11" s="333"/>
      <c r="CD11" s="333"/>
      <c r="CE11" s="333"/>
      <c r="CF11" s="333"/>
      <c r="CG11" s="333"/>
      <c r="CH11" s="333"/>
      <c r="CI11" s="333"/>
      <c r="CJ11" s="333"/>
      <c r="CK11" s="333"/>
      <c r="CL11" s="333"/>
      <c r="CM11" s="333"/>
      <c r="CN11" s="333"/>
      <c r="CO11" s="333"/>
      <c r="CP11" s="333"/>
      <c r="CQ11" s="333"/>
      <c r="CR11" s="333"/>
      <c r="CS11" s="333"/>
      <c r="CT11" s="333"/>
      <c r="CU11" s="333"/>
      <c r="CV11" s="333"/>
      <c r="CW11" s="333"/>
      <c r="CX11" s="333"/>
      <c r="CY11" s="333"/>
      <c r="CZ11" s="333"/>
      <c r="DA11" s="333"/>
      <c r="DB11" s="333"/>
      <c r="DC11" s="333"/>
      <c r="DD11" s="333"/>
      <c r="DE11" s="333"/>
      <c r="DF11" s="333"/>
      <c r="DG11" s="333"/>
      <c r="DH11" s="333"/>
      <c r="DI11" s="333"/>
      <c r="DJ11" s="333"/>
      <c r="DK11" s="333"/>
      <c r="DL11" s="333"/>
      <c r="DM11" s="333"/>
      <c r="DN11" s="333"/>
      <c r="DO11" s="333"/>
      <c r="DP11" s="333"/>
      <c r="DQ11" s="333"/>
      <c r="DR11" s="333"/>
      <c r="DS11" s="333"/>
      <c r="DT11" s="333"/>
      <c r="DU11" s="333"/>
    </row>
    <row r="12" spans="1:125" s="341" customFormat="1" ht="13.5" customHeight="1">
      <c r="A12" s="329"/>
      <c r="B12" s="336"/>
      <c r="C12" s="85"/>
      <c r="D12" s="117" t="s">
        <v>668</v>
      </c>
      <c r="E12" s="336"/>
      <c r="F12" s="337">
        <f>7.98</f>
        <v>7.98</v>
      </c>
      <c r="G12" s="338"/>
      <c r="H12" s="331"/>
      <c r="I12" s="332"/>
      <c r="J12" s="317"/>
      <c r="K12" s="505"/>
      <c r="L12" s="339"/>
      <c r="M12" s="340"/>
      <c r="N12" s="340"/>
      <c r="O12" s="339"/>
      <c r="P12" s="339"/>
      <c r="Q12" s="340"/>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c r="AW12" s="339"/>
      <c r="AX12" s="339"/>
      <c r="AY12" s="339"/>
      <c r="AZ12" s="339"/>
      <c r="BA12" s="339"/>
      <c r="BB12" s="339"/>
      <c r="BC12" s="339"/>
      <c r="BD12" s="339"/>
      <c r="BE12" s="339"/>
      <c r="BF12" s="339"/>
      <c r="BG12" s="339"/>
      <c r="BH12" s="339"/>
      <c r="BI12" s="339"/>
      <c r="BJ12" s="339"/>
      <c r="BK12" s="339"/>
      <c r="BL12" s="339"/>
      <c r="BM12" s="339"/>
      <c r="BN12" s="339"/>
      <c r="BO12" s="339"/>
      <c r="BP12" s="339"/>
      <c r="BQ12" s="339"/>
      <c r="BR12" s="339"/>
      <c r="BS12" s="339"/>
      <c r="BT12" s="339"/>
      <c r="BU12" s="339"/>
      <c r="BV12" s="339"/>
      <c r="BW12" s="339"/>
      <c r="BX12" s="339"/>
      <c r="BY12" s="339"/>
      <c r="BZ12" s="339"/>
      <c r="CA12" s="339"/>
      <c r="CB12" s="339"/>
      <c r="CC12" s="339"/>
      <c r="CD12" s="339"/>
      <c r="CE12" s="339"/>
      <c r="CF12" s="339"/>
      <c r="CG12" s="339"/>
      <c r="CH12" s="339"/>
      <c r="CI12" s="339"/>
      <c r="CJ12" s="339"/>
      <c r="CK12" s="339"/>
      <c r="CL12" s="339"/>
      <c r="CM12" s="339"/>
      <c r="CN12" s="339"/>
      <c r="CO12" s="339"/>
      <c r="CP12" s="339"/>
      <c r="CQ12" s="339"/>
      <c r="CR12" s="339"/>
      <c r="CS12" s="339"/>
      <c r="CT12" s="339"/>
      <c r="CU12" s="339"/>
      <c r="CV12" s="339"/>
      <c r="CW12" s="339"/>
      <c r="CX12" s="339"/>
      <c r="CY12" s="339"/>
      <c r="CZ12" s="339"/>
      <c r="DA12" s="339"/>
      <c r="DB12" s="339"/>
      <c r="DC12" s="339"/>
      <c r="DD12" s="339"/>
      <c r="DE12" s="339"/>
      <c r="DF12" s="339"/>
      <c r="DG12" s="339"/>
      <c r="DH12" s="339"/>
      <c r="DI12" s="339"/>
      <c r="DJ12" s="339"/>
      <c r="DK12" s="339"/>
      <c r="DL12" s="339"/>
      <c r="DM12" s="339"/>
      <c r="DN12" s="339"/>
      <c r="DO12" s="339"/>
      <c r="DP12" s="339"/>
      <c r="DQ12" s="339"/>
      <c r="DR12" s="339"/>
      <c r="DS12" s="339"/>
      <c r="DT12" s="339"/>
      <c r="DU12" s="339"/>
    </row>
    <row r="13" spans="1:125" s="335" customFormat="1" ht="13.5" customHeight="1">
      <c r="A13" s="343" t="s">
        <v>79</v>
      </c>
      <c r="B13" s="344" t="s">
        <v>123</v>
      </c>
      <c r="C13" s="87">
        <v>10364100</v>
      </c>
      <c r="D13" s="87" t="s">
        <v>124</v>
      </c>
      <c r="E13" s="87" t="s">
        <v>125</v>
      </c>
      <c r="F13" s="38">
        <f>SUM(F14)</f>
        <v>13.566000000000001</v>
      </c>
      <c r="G13" s="89"/>
      <c r="H13" s="345">
        <f>F13*G13</f>
        <v>0</v>
      </c>
      <c r="I13" s="346" t="s">
        <v>738</v>
      </c>
      <c r="J13" s="347"/>
      <c r="K13" s="333"/>
      <c r="L13" s="333"/>
      <c r="M13" s="333"/>
      <c r="N13" s="333"/>
      <c r="O13" s="333"/>
      <c r="P13" s="333"/>
      <c r="Q13" s="333"/>
      <c r="R13" s="334"/>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c r="AW13" s="333"/>
      <c r="AX13" s="333"/>
      <c r="AY13" s="333"/>
      <c r="AZ13" s="333"/>
      <c r="BA13" s="333"/>
      <c r="BB13" s="333"/>
      <c r="BC13" s="333"/>
      <c r="BD13" s="333"/>
      <c r="BE13" s="333"/>
      <c r="BF13" s="333"/>
      <c r="BG13" s="333"/>
      <c r="BH13" s="333"/>
      <c r="BI13" s="333"/>
      <c r="BJ13" s="333"/>
      <c r="BK13" s="333"/>
      <c r="BL13" s="333"/>
      <c r="BM13" s="333"/>
      <c r="BN13" s="333"/>
      <c r="BO13" s="333"/>
      <c r="BP13" s="333"/>
      <c r="BQ13" s="333"/>
      <c r="BR13" s="333"/>
      <c r="BS13" s="333"/>
      <c r="BT13" s="333"/>
      <c r="BU13" s="333"/>
      <c r="BV13" s="333"/>
      <c r="BW13" s="333"/>
      <c r="BX13" s="333"/>
      <c r="BY13" s="333"/>
      <c r="BZ13" s="333"/>
      <c r="CA13" s="333"/>
      <c r="CB13" s="333"/>
      <c r="CC13" s="333"/>
      <c r="CD13" s="333"/>
      <c r="CE13" s="333"/>
      <c r="CF13" s="333"/>
      <c r="CG13" s="333"/>
      <c r="CH13" s="333"/>
      <c r="CI13" s="333"/>
      <c r="CJ13" s="333"/>
      <c r="CK13" s="333"/>
      <c r="CL13" s="333"/>
      <c r="CM13" s="333"/>
      <c r="CN13" s="333"/>
      <c r="CO13" s="333"/>
      <c r="CP13" s="333"/>
      <c r="CQ13" s="333"/>
      <c r="CR13" s="333"/>
      <c r="CS13" s="333"/>
      <c r="CT13" s="333"/>
      <c r="CU13" s="333"/>
      <c r="CV13" s="333"/>
      <c r="CW13" s="333"/>
      <c r="CX13" s="333"/>
      <c r="CY13" s="333"/>
      <c r="CZ13" s="333"/>
      <c r="DA13" s="333"/>
      <c r="DB13" s="333"/>
      <c r="DC13" s="333"/>
      <c r="DD13" s="333"/>
      <c r="DE13" s="333"/>
      <c r="DF13" s="333"/>
      <c r="DG13" s="333"/>
      <c r="DH13" s="333"/>
      <c r="DI13" s="333"/>
      <c r="DJ13" s="333"/>
      <c r="DK13" s="333"/>
      <c r="DL13" s="333"/>
      <c r="DM13" s="333"/>
      <c r="DN13" s="333"/>
      <c r="DO13" s="333"/>
      <c r="DP13" s="333"/>
      <c r="DQ13" s="333"/>
      <c r="DR13" s="333"/>
      <c r="DS13" s="333"/>
      <c r="DT13" s="333"/>
      <c r="DU13" s="333"/>
    </row>
    <row r="14" spans="1:125" s="341" customFormat="1" ht="13.5" customHeight="1">
      <c r="A14" s="343"/>
      <c r="B14" s="348"/>
      <c r="C14" s="87"/>
      <c r="D14" s="118" t="s">
        <v>669</v>
      </c>
      <c r="E14" s="348"/>
      <c r="F14" s="349">
        <f>(7.98)*1.7</f>
        <v>13.566000000000001</v>
      </c>
      <c r="G14" s="350"/>
      <c r="H14" s="345"/>
      <c r="I14" s="346"/>
      <c r="J14" s="351"/>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c r="AW14" s="339"/>
      <c r="AX14" s="339"/>
      <c r="AY14" s="339"/>
      <c r="AZ14" s="339"/>
      <c r="BA14" s="339"/>
      <c r="BB14" s="339"/>
      <c r="BC14" s="339"/>
      <c r="BD14" s="339"/>
      <c r="BE14" s="339"/>
      <c r="BF14" s="339"/>
      <c r="BG14" s="339"/>
      <c r="BH14" s="339"/>
      <c r="BI14" s="339"/>
      <c r="BJ14" s="339"/>
      <c r="BK14" s="339"/>
      <c r="BL14" s="339"/>
      <c r="BM14" s="339"/>
      <c r="BN14" s="339"/>
      <c r="BO14" s="339"/>
      <c r="BP14" s="339"/>
      <c r="BQ14" s="339"/>
      <c r="BR14" s="339"/>
      <c r="BS14" s="339"/>
      <c r="BT14" s="339"/>
      <c r="BU14" s="339"/>
      <c r="BV14" s="339"/>
      <c r="BW14" s="339"/>
      <c r="BX14" s="339"/>
      <c r="BY14" s="339"/>
      <c r="BZ14" s="339"/>
      <c r="CA14" s="339"/>
      <c r="CB14" s="339"/>
      <c r="CC14" s="339"/>
      <c r="CD14" s="339"/>
      <c r="CE14" s="339"/>
      <c r="CF14" s="339"/>
      <c r="CG14" s="339"/>
      <c r="CH14" s="339"/>
      <c r="CI14" s="339"/>
      <c r="CJ14" s="339"/>
      <c r="CK14" s="339"/>
      <c r="CL14" s="339"/>
      <c r="CM14" s="339"/>
      <c r="CN14" s="339"/>
      <c r="CO14" s="339"/>
      <c r="CP14" s="339"/>
      <c r="CQ14" s="339"/>
      <c r="CR14" s="339"/>
      <c r="CS14" s="339"/>
      <c r="CT14" s="339"/>
      <c r="CU14" s="339"/>
      <c r="CV14" s="339"/>
      <c r="CW14" s="339"/>
      <c r="CX14" s="339"/>
      <c r="CY14" s="339"/>
      <c r="CZ14" s="339"/>
      <c r="DA14" s="339"/>
      <c r="DB14" s="339"/>
      <c r="DC14" s="339"/>
      <c r="DD14" s="339"/>
      <c r="DE14" s="339"/>
      <c r="DF14" s="339"/>
      <c r="DG14" s="339"/>
      <c r="DH14" s="339"/>
      <c r="DI14" s="339"/>
      <c r="DJ14" s="339"/>
      <c r="DK14" s="339"/>
      <c r="DL14" s="339"/>
      <c r="DM14" s="339"/>
      <c r="DN14" s="339"/>
      <c r="DO14" s="339"/>
      <c r="DP14" s="339"/>
      <c r="DQ14" s="339"/>
      <c r="DR14" s="339"/>
      <c r="DS14" s="339"/>
      <c r="DT14" s="339"/>
      <c r="DU14" s="339"/>
    </row>
    <row r="15" spans="1:125" s="314" customFormat="1" ht="26.25" customHeight="1">
      <c r="A15" s="352">
        <v>3</v>
      </c>
      <c r="B15" s="353" t="s">
        <v>126</v>
      </c>
      <c r="C15" s="85">
        <v>181111121</v>
      </c>
      <c r="D15" s="85" t="s">
        <v>127</v>
      </c>
      <c r="E15" s="354" t="s">
        <v>98</v>
      </c>
      <c r="F15" s="355">
        <f>F16</f>
        <v>26</v>
      </c>
      <c r="G15" s="503"/>
      <c r="H15" s="356">
        <f>F15*G15</f>
        <v>0</v>
      </c>
      <c r="I15" s="332" t="s">
        <v>738</v>
      </c>
      <c r="J15" s="317"/>
      <c r="K15" s="317"/>
      <c r="L15" s="328"/>
      <c r="M15" s="357"/>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c r="AW15" s="313"/>
      <c r="AX15" s="313"/>
      <c r="AY15" s="313"/>
      <c r="AZ15" s="313"/>
      <c r="BA15" s="313"/>
      <c r="BB15" s="313"/>
      <c r="BC15" s="313"/>
      <c r="BD15" s="313"/>
      <c r="BE15" s="313"/>
      <c r="BF15" s="313"/>
      <c r="BG15" s="313"/>
      <c r="BH15" s="313"/>
      <c r="BI15" s="313"/>
      <c r="BJ15" s="313"/>
      <c r="BK15" s="313"/>
      <c r="BL15" s="313"/>
      <c r="BM15" s="313"/>
      <c r="BN15" s="313"/>
      <c r="BO15" s="313"/>
      <c r="BP15" s="313"/>
      <c r="BQ15" s="313"/>
      <c r="BR15" s="313"/>
      <c r="BS15" s="313"/>
      <c r="BT15" s="313"/>
      <c r="BU15" s="313"/>
      <c r="BV15" s="313"/>
      <c r="BW15" s="313"/>
      <c r="BX15" s="313"/>
      <c r="BY15" s="313"/>
      <c r="BZ15" s="313"/>
      <c r="CA15" s="313"/>
      <c r="CB15" s="313"/>
      <c r="CC15" s="313"/>
      <c r="CD15" s="313"/>
      <c r="CE15" s="313"/>
      <c r="CF15" s="313"/>
      <c r="CG15" s="313"/>
      <c r="CH15" s="313"/>
      <c r="CI15" s="313"/>
      <c r="CJ15" s="313"/>
      <c r="CK15" s="313"/>
      <c r="CL15" s="313"/>
      <c r="CM15" s="313"/>
      <c r="CN15" s="313"/>
      <c r="CO15" s="313"/>
      <c r="CP15" s="313"/>
      <c r="CQ15" s="313"/>
      <c r="CR15" s="313"/>
      <c r="CS15" s="313"/>
      <c r="CT15" s="313"/>
      <c r="CU15" s="313"/>
      <c r="CV15" s="313"/>
      <c r="CW15" s="313"/>
      <c r="CX15" s="313"/>
      <c r="CY15" s="313"/>
      <c r="CZ15" s="313"/>
      <c r="DA15" s="313"/>
      <c r="DB15" s="313"/>
      <c r="DC15" s="313"/>
      <c r="DD15" s="313"/>
      <c r="DE15" s="313"/>
      <c r="DF15" s="313"/>
      <c r="DG15" s="313"/>
      <c r="DH15" s="313"/>
      <c r="DI15" s="313"/>
      <c r="DJ15" s="313"/>
      <c r="DK15" s="313"/>
      <c r="DL15" s="313"/>
      <c r="DM15" s="313"/>
      <c r="DN15" s="313"/>
      <c r="DO15" s="313"/>
      <c r="DP15" s="313"/>
      <c r="DQ15" s="313"/>
      <c r="DR15" s="313"/>
      <c r="DS15" s="313"/>
      <c r="DT15" s="313"/>
      <c r="DU15" s="313"/>
    </row>
    <row r="16" spans="1:125" s="314" customFormat="1" ht="13.5" customHeight="1">
      <c r="A16" s="352"/>
      <c r="B16" s="353"/>
      <c r="C16" s="354"/>
      <c r="D16" s="358" t="s">
        <v>369</v>
      </c>
      <c r="E16" s="354"/>
      <c r="F16" s="359">
        <f>6.5*4</f>
        <v>26</v>
      </c>
      <c r="G16" s="356"/>
      <c r="H16" s="356"/>
      <c r="I16" s="360"/>
      <c r="J16" s="322"/>
      <c r="K16" s="361"/>
      <c r="L16" s="361"/>
      <c r="M16" s="361"/>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c r="AW16" s="313"/>
      <c r="AX16" s="313"/>
      <c r="AY16" s="313"/>
      <c r="AZ16" s="313"/>
      <c r="BA16" s="313"/>
      <c r="BB16" s="313"/>
      <c r="BC16" s="313"/>
      <c r="BD16" s="313"/>
      <c r="BE16" s="313"/>
      <c r="BF16" s="313"/>
      <c r="BG16" s="313"/>
      <c r="BH16" s="313"/>
      <c r="BI16" s="313"/>
      <c r="BJ16" s="313"/>
      <c r="BK16" s="313"/>
      <c r="BL16" s="313"/>
      <c r="BM16" s="313"/>
      <c r="BN16" s="313"/>
      <c r="BO16" s="313"/>
      <c r="BP16" s="313"/>
      <c r="BQ16" s="313"/>
      <c r="BR16" s="313"/>
      <c r="BS16" s="313"/>
      <c r="BT16" s="313"/>
      <c r="BU16" s="313"/>
      <c r="BV16" s="313"/>
      <c r="BW16" s="313"/>
      <c r="BX16" s="313"/>
      <c r="BY16" s="313"/>
      <c r="BZ16" s="313"/>
      <c r="CA16" s="313"/>
      <c r="CB16" s="313"/>
      <c r="CC16" s="313"/>
      <c r="CD16" s="313"/>
      <c r="CE16" s="313"/>
      <c r="CF16" s="313"/>
      <c r="CG16" s="313"/>
      <c r="CH16" s="313"/>
      <c r="CI16" s="313"/>
      <c r="CJ16" s="313"/>
      <c r="CK16" s="313"/>
      <c r="CL16" s="313"/>
      <c r="CM16" s="313"/>
      <c r="CN16" s="313"/>
      <c r="CO16" s="313"/>
      <c r="CP16" s="313"/>
      <c r="CQ16" s="313"/>
      <c r="CR16" s="313"/>
      <c r="CS16" s="313"/>
      <c r="CT16" s="313"/>
      <c r="CU16" s="313"/>
      <c r="CV16" s="313"/>
      <c r="CW16" s="313"/>
      <c r="CX16" s="313"/>
      <c r="CY16" s="313"/>
      <c r="CZ16" s="313"/>
      <c r="DA16" s="313"/>
      <c r="DB16" s="313"/>
      <c r="DC16" s="313"/>
      <c r="DD16" s="313"/>
      <c r="DE16" s="313"/>
      <c r="DF16" s="313"/>
      <c r="DG16" s="313"/>
      <c r="DH16" s="313"/>
      <c r="DI16" s="313"/>
      <c r="DJ16" s="313"/>
      <c r="DK16" s="313"/>
      <c r="DL16" s="313"/>
      <c r="DM16" s="313"/>
      <c r="DN16" s="313"/>
      <c r="DO16" s="313"/>
      <c r="DP16" s="313"/>
      <c r="DQ16" s="313"/>
      <c r="DR16" s="313"/>
      <c r="DS16" s="313"/>
      <c r="DT16" s="313"/>
      <c r="DU16" s="313"/>
    </row>
    <row r="17" spans="1:125" s="314" customFormat="1" ht="13.5" customHeight="1">
      <c r="A17" s="323"/>
      <c r="B17" s="324"/>
      <c r="C17" s="324" t="s">
        <v>128</v>
      </c>
      <c r="D17" s="324" t="s">
        <v>129</v>
      </c>
      <c r="E17" s="324"/>
      <c r="F17" s="325"/>
      <c r="G17" s="326"/>
      <c r="H17" s="326">
        <f>SUM(H18:H38,H50,H43:H45)</f>
        <v>0</v>
      </c>
      <c r="I17" s="327"/>
      <c r="J17" s="390"/>
      <c r="K17" s="1114"/>
      <c r="L17" s="362"/>
      <c r="M17" s="362"/>
      <c r="N17" s="328"/>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c r="AW17" s="313"/>
      <c r="AX17" s="313"/>
      <c r="AY17" s="313"/>
      <c r="AZ17" s="313"/>
      <c r="BA17" s="313"/>
      <c r="BB17" s="313"/>
      <c r="BC17" s="313"/>
      <c r="BD17" s="313"/>
      <c r="BE17" s="313"/>
      <c r="BF17" s="313"/>
      <c r="BG17" s="313"/>
      <c r="BH17" s="313"/>
      <c r="BI17" s="313"/>
      <c r="BJ17" s="313"/>
      <c r="BK17" s="313"/>
      <c r="BL17" s="313"/>
      <c r="BM17" s="313"/>
      <c r="BN17" s="313"/>
      <c r="BO17" s="313"/>
      <c r="BP17" s="313"/>
      <c r="BQ17" s="313"/>
      <c r="BR17" s="313"/>
      <c r="BS17" s="313"/>
      <c r="BT17" s="313"/>
      <c r="BU17" s="313"/>
      <c r="BV17" s="313"/>
      <c r="BW17" s="313"/>
      <c r="BX17" s="313"/>
      <c r="BY17" s="313"/>
      <c r="BZ17" s="313"/>
      <c r="CA17" s="313"/>
      <c r="CB17" s="313"/>
      <c r="CC17" s="313"/>
      <c r="CD17" s="313"/>
      <c r="CE17" s="313"/>
      <c r="CF17" s="313"/>
      <c r="CG17" s="313"/>
      <c r="CH17" s="313"/>
      <c r="CI17" s="313"/>
      <c r="CJ17" s="313"/>
      <c r="CK17" s="313"/>
      <c r="CL17" s="313"/>
      <c r="CM17" s="313"/>
      <c r="CN17" s="313"/>
      <c r="CO17" s="313"/>
      <c r="CP17" s="313"/>
      <c r="CQ17" s="313"/>
      <c r="CR17" s="313"/>
      <c r="CS17" s="313"/>
      <c r="CT17" s="313"/>
      <c r="CU17" s="313"/>
      <c r="CV17" s="313"/>
      <c r="CW17" s="313"/>
      <c r="CX17" s="313"/>
      <c r="CY17" s="313"/>
      <c r="CZ17" s="313"/>
      <c r="DA17" s="313"/>
      <c r="DB17" s="313"/>
      <c r="DC17" s="313"/>
      <c r="DD17" s="313"/>
      <c r="DE17" s="313"/>
      <c r="DF17" s="313"/>
      <c r="DG17" s="313"/>
      <c r="DH17" s="313"/>
      <c r="DI17" s="313"/>
      <c r="DJ17" s="313"/>
      <c r="DK17" s="313"/>
      <c r="DL17" s="313"/>
      <c r="DM17" s="313"/>
      <c r="DN17" s="313"/>
      <c r="DO17" s="313"/>
      <c r="DP17" s="313"/>
      <c r="DQ17" s="313"/>
      <c r="DR17" s="313"/>
      <c r="DS17" s="313"/>
      <c r="DT17" s="313"/>
      <c r="DU17" s="313"/>
    </row>
    <row r="18" spans="1:125" s="314" customFormat="1" ht="13.5" customHeight="1">
      <c r="A18" s="352">
        <v>4</v>
      </c>
      <c r="B18" s="330" t="s">
        <v>196</v>
      </c>
      <c r="C18" s="354">
        <v>961043111</v>
      </c>
      <c r="D18" s="354" t="s">
        <v>338</v>
      </c>
      <c r="E18" s="354" t="s">
        <v>122</v>
      </c>
      <c r="F18" s="355">
        <f>SUM(F19:F19)</f>
        <v>7.9785000000000004</v>
      </c>
      <c r="G18" s="503"/>
      <c r="H18" s="356">
        <f>F18*G18</f>
        <v>0</v>
      </c>
      <c r="I18" s="332" t="s">
        <v>738</v>
      </c>
      <c r="J18" s="411"/>
      <c r="K18" s="313"/>
      <c r="L18" s="362"/>
      <c r="M18" s="362"/>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125" s="314" customFormat="1" ht="13.5" customHeight="1">
      <c r="A19" s="352"/>
      <c r="B19" s="354"/>
      <c r="C19" s="354"/>
      <c r="D19" s="358" t="s">
        <v>666</v>
      </c>
      <c r="E19" s="354"/>
      <c r="F19" s="392">
        <f>(6.5+3.8+6.5+1.45*2)*0.9*0.45</f>
        <v>7.9785000000000004</v>
      </c>
      <c r="G19" s="356"/>
      <c r="H19" s="356"/>
      <c r="I19" s="360"/>
      <c r="J19" s="376"/>
      <c r="K19" s="413"/>
      <c r="L19" s="362"/>
      <c r="M19" s="362"/>
      <c r="N19" s="413"/>
      <c r="O19" s="413"/>
      <c r="P19" s="4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125" s="314" customFormat="1" ht="13.5" customHeight="1">
      <c r="A20" s="352">
        <v>5</v>
      </c>
      <c r="B20" s="330" t="s">
        <v>196</v>
      </c>
      <c r="C20" s="354" t="s">
        <v>670</v>
      </c>
      <c r="D20" s="354" t="s">
        <v>671</v>
      </c>
      <c r="E20" s="354" t="s">
        <v>33</v>
      </c>
      <c r="F20" s="355">
        <f>SUM(F22)</f>
        <v>1</v>
      </c>
      <c r="G20" s="503"/>
      <c r="H20" s="356">
        <f>F20*G20</f>
        <v>0</v>
      </c>
      <c r="I20" s="332" t="s">
        <v>740</v>
      </c>
      <c r="J20" s="376"/>
      <c r="K20" s="391"/>
      <c r="L20" s="362"/>
      <c r="M20" s="1115"/>
      <c r="N20" s="313"/>
      <c r="O20" s="313"/>
      <c r="P20" s="313"/>
      <c r="Q20" s="313"/>
      <c r="R20" s="313"/>
      <c r="S20" s="313"/>
      <c r="T20" s="313"/>
      <c r="U20" s="313"/>
      <c r="V20" s="1116"/>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c r="AW20" s="313"/>
      <c r="AX20" s="313"/>
      <c r="AY20" s="313"/>
      <c r="AZ20" s="313"/>
      <c r="BA20" s="313"/>
      <c r="BB20" s="313"/>
      <c r="BC20" s="313"/>
      <c r="BD20" s="313"/>
      <c r="BE20" s="313"/>
      <c r="BF20" s="313"/>
      <c r="BG20" s="313"/>
      <c r="BH20" s="313"/>
      <c r="BI20" s="313"/>
      <c r="BJ20" s="313"/>
      <c r="BK20" s="313"/>
      <c r="BL20" s="313"/>
      <c r="BM20" s="313"/>
      <c r="BN20" s="313"/>
      <c r="BO20" s="313"/>
      <c r="BP20" s="313"/>
      <c r="BQ20" s="313"/>
      <c r="BR20" s="313"/>
      <c r="BS20" s="313"/>
      <c r="BT20" s="313"/>
      <c r="BU20" s="313"/>
      <c r="BV20" s="313"/>
      <c r="BW20" s="313"/>
      <c r="BX20" s="313"/>
      <c r="BY20" s="313"/>
      <c r="BZ20" s="313"/>
      <c r="CA20" s="313"/>
      <c r="CB20" s="313"/>
      <c r="CC20" s="313"/>
      <c r="CD20" s="313"/>
      <c r="CE20" s="313"/>
      <c r="CF20" s="313"/>
      <c r="CG20" s="313"/>
      <c r="CH20" s="313"/>
      <c r="CI20" s="313"/>
      <c r="CJ20" s="313"/>
      <c r="CK20" s="313"/>
      <c r="CL20" s="313"/>
      <c r="CM20" s="313"/>
      <c r="CN20" s="313"/>
      <c r="CO20" s="313"/>
      <c r="CP20" s="313"/>
      <c r="CQ20" s="313"/>
      <c r="CR20" s="313"/>
      <c r="CS20" s="313"/>
      <c r="CT20" s="313"/>
      <c r="CU20" s="313"/>
      <c r="CV20" s="313"/>
      <c r="CW20" s="313"/>
      <c r="CX20" s="313"/>
      <c r="CY20" s="313"/>
      <c r="CZ20" s="313"/>
      <c r="DA20" s="313"/>
      <c r="DB20" s="313"/>
      <c r="DC20" s="313"/>
      <c r="DD20" s="313"/>
      <c r="DE20" s="313"/>
      <c r="DF20" s="313"/>
      <c r="DG20" s="313"/>
      <c r="DH20" s="313"/>
      <c r="DI20" s="313"/>
      <c r="DJ20" s="313"/>
      <c r="DK20" s="313"/>
      <c r="DL20" s="313"/>
      <c r="DM20" s="313"/>
      <c r="DN20" s="313"/>
      <c r="DO20" s="313"/>
      <c r="DP20" s="313"/>
      <c r="DQ20" s="313"/>
      <c r="DR20" s="313"/>
      <c r="DS20" s="313"/>
      <c r="DT20" s="313"/>
      <c r="DU20" s="313"/>
    </row>
    <row r="21" spans="1:125" s="314" customFormat="1" ht="13.5" customHeight="1">
      <c r="A21" s="323"/>
      <c r="B21" s="324"/>
      <c r="C21" s="324"/>
      <c r="D21" s="358" t="s">
        <v>680</v>
      </c>
      <c r="E21" s="324"/>
      <c r="F21" s="325"/>
      <c r="G21" s="326"/>
      <c r="H21" s="326"/>
      <c r="I21" s="327"/>
      <c r="J21" s="364"/>
      <c r="K21" s="1117"/>
      <c r="L21" s="362"/>
      <c r="M21" s="362"/>
      <c r="N21" s="313"/>
      <c r="O21" s="313"/>
      <c r="P21" s="313"/>
      <c r="Q21" s="313"/>
      <c r="R21" s="313"/>
      <c r="S21" s="313"/>
      <c r="T21" s="313"/>
      <c r="U21" s="313"/>
      <c r="V21" s="1116"/>
      <c r="W21" s="313"/>
      <c r="X21" s="313"/>
      <c r="Y21" s="313"/>
      <c r="Z21" s="313"/>
      <c r="AA21" s="313"/>
      <c r="AB21" s="313"/>
      <c r="AC21" s="313"/>
      <c r="AD21" s="313"/>
      <c r="AE21" s="313"/>
      <c r="AF21" s="313"/>
      <c r="AG21" s="313"/>
      <c r="AH21" s="313"/>
      <c r="AI21" s="313"/>
      <c r="AJ21" s="313"/>
      <c r="AK21" s="313"/>
      <c r="AL21" s="313"/>
      <c r="AM21" s="313"/>
      <c r="AN21" s="313"/>
      <c r="AO21" s="313"/>
      <c r="AP21" s="313"/>
      <c r="AQ21" s="313"/>
      <c r="AR21" s="313"/>
      <c r="AS21" s="313"/>
      <c r="AT21" s="313"/>
      <c r="AU21" s="313"/>
      <c r="AV21" s="313"/>
      <c r="AW21" s="313"/>
      <c r="AX21" s="313"/>
      <c r="AY21" s="313"/>
      <c r="AZ21" s="313"/>
      <c r="BA21" s="313"/>
      <c r="BB21" s="313"/>
      <c r="BC21" s="313"/>
      <c r="BD21" s="313"/>
      <c r="BE21" s="313"/>
      <c r="BF21" s="313"/>
      <c r="BG21" s="313"/>
      <c r="BH21" s="313"/>
      <c r="BI21" s="313"/>
      <c r="BJ21" s="313"/>
      <c r="BK21" s="313"/>
      <c r="BL21" s="313"/>
      <c r="BM21" s="313"/>
      <c r="BN21" s="313"/>
      <c r="BO21" s="313"/>
      <c r="BP21" s="313"/>
      <c r="BQ21" s="313"/>
      <c r="BR21" s="313"/>
      <c r="BS21" s="313"/>
      <c r="BT21" s="313"/>
      <c r="BU21" s="313"/>
      <c r="BV21" s="313"/>
      <c r="BW21" s="313"/>
      <c r="BX21" s="313"/>
      <c r="BY21" s="313"/>
      <c r="BZ21" s="313"/>
      <c r="CA21" s="313"/>
      <c r="CB21" s="313"/>
      <c r="CC21" s="313"/>
      <c r="CD21" s="313"/>
      <c r="CE21" s="313"/>
      <c r="CF21" s="313"/>
      <c r="CG21" s="313"/>
      <c r="CH21" s="313"/>
      <c r="CI21" s="313"/>
      <c r="CJ21" s="313"/>
      <c r="CK21" s="313"/>
      <c r="CL21" s="313"/>
      <c r="CM21" s="313"/>
      <c r="CN21" s="313"/>
      <c r="CO21" s="313"/>
      <c r="CP21" s="313"/>
      <c r="CQ21" s="313"/>
      <c r="CR21" s="313"/>
      <c r="CS21" s="313"/>
      <c r="CT21" s="313"/>
      <c r="CU21" s="313"/>
      <c r="CV21" s="313"/>
      <c r="CW21" s="313"/>
      <c r="CX21" s="313"/>
      <c r="CY21" s="313"/>
      <c r="CZ21" s="313"/>
      <c r="DA21" s="313"/>
      <c r="DB21" s="313"/>
      <c r="DC21" s="313"/>
      <c r="DD21" s="313"/>
      <c r="DE21" s="313"/>
      <c r="DF21" s="313"/>
      <c r="DG21" s="313"/>
      <c r="DH21" s="313"/>
      <c r="DI21" s="313"/>
      <c r="DJ21" s="313"/>
      <c r="DK21" s="313"/>
      <c r="DL21" s="313"/>
      <c r="DM21" s="313"/>
      <c r="DN21" s="313"/>
      <c r="DO21" s="313"/>
      <c r="DP21" s="313"/>
      <c r="DQ21" s="313"/>
      <c r="DR21" s="313"/>
      <c r="DS21" s="313"/>
      <c r="DT21" s="313"/>
      <c r="DU21" s="313"/>
    </row>
    <row r="22" spans="1:125" s="314" customFormat="1" ht="27" customHeight="1">
      <c r="A22" s="323"/>
      <c r="B22" s="324"/>
      <c r="C22" s="324"/>
      <c r="D22" s="358" t="s">
        <v>673</v>
      </c>
      <c r="E22" s="324"/>
      <c r="F22" s="337">
        <v>1</v>
      </c>
      <c r="G22" s="326"/>
      <c r="H22" s="326"/>
      <c r="I22" s="327"/>
      <c r="J22" s="364"/>
      <c r="K22" s="1117"/>
      <c r="L22" s="362"/>
      <c r="M22" s="362"/>
      <c r="N22" s="313"/>
      <c r="O22" s="313"/>
      <c r="P22" s="313"/>
      <c r="Q22" s="313"/>
      <c r="R22" s="313"/>
      <c r="S22" s="313"/>
      <c r="T22" s="313"/>
      <c r="U22" s="313"/>
      <c r="V22" s="1116"/>
      <c r="W22" s="313"/>
      <c r="X22" s="313"/>
      <c r="Y22" s="313"/>
      <c r="Z22" s="313"/>
      <c r="AA22" s="313"/>
      <c r="AB22" s="313"/>
      <c r="AC22" s="313"/>
      <c r="AD22" s="313"/>
      <c r="AE22" s="313"/>
      <c r="AF22" s="313"/>
      <c r="AG22" s="313"/>
      <c r="AH22" s="313"/>
      <c r="AI22" s="313"/>
      <c r="AJ22" s="313"/>
      <c r="AK22" s="313"/>
      <c r="AL22" s="313"/>
      <c r="AM22" s="313"/>
      <c r="AN22" s="313"/>
      <c r="AO22" s="313"/>
      <c r="AP22" s="313"/>
      <c r="AQ22" s="313"/>
      <c r="AR22" s="313"/>
      <c r="AS22" s="313"/>
      <c r="AT22" s="313"/>
      <c r="AU22" s="313"/>
      <c r="AV22" s="313"/>
      <c r="AW22" s="313"/>
      <c r="AX22" s="313"/>
      <c r="AY22" s="313"/>
      <c r="AZ22" s="313"/>
      <c r="BA22" s="313"/>
      <c r="BB22" s="313"/>
      <c r="BC22" s="313"/>
      <c r="BD22" s="313"/>
      <c r="BE22" s="313"/>
      <c r="BF22" s="313"/>
      <c r="BG22" s="313"/>
      <c r="BH22" s="313"/>
      <c r="BI22" s="313"/>
      <c r="BJ22" s="313"/>
      <c r="BK22" s="313"/>
      <c r="BL22" s="313"/>
      <c r="BM22" s="313"/>
      <c r="BN22" s="313"/>
      <c r="BO22" s="313"/>
      <c r="BP22" s="313"/>
      <c r="BQ22" s="313"/>
      <c r="BR22" s="313"/>
      <c r="BS22" s="313"/>
      <c r="BT22" s="313"/>
      <c r="BU22" s="313"/>
      <c r="BV22" s="313"/>
      <c r="BW22" s="313"/>
      <c r="BX22" s="313"/>
      <c r="BY22" s="313"/>
      <c r="BZ22" s="313"/>
      <c r="CA22" s="313"/>
      <c r="CB22" s="313"/>
      <c r="CC22" s="313"/>
      <c r="CD22" s="313"/>
      <c r="CE22" s="313"/>
      <c r="CF22" s="313"/>
      <c r="CG22" s="313"/>
      <c r="CH22" s="313"/>
      <c r="CI22" s="313"/>
      <c r="CJ22" s="313"/>
      <c r="CK22" s="313"/>
      <c r="CL22" s="313"/>
      <c r="CM22" s="313"/>
      <c r="CN22" s="313"/>
      <c r="CO22" s="313"/>
      <c r="CP22" s="313"/>
      <c r="CQ22" s="313"/>
      <c r="CR22" s="313"/>
      <c r="CS22" s="313"/>
      <c r="CT22" s="313"/>
      <c r="CU22" s="313"/>
      <c r="CV22" s="313"/>
      <c r="CW22" s="313"/>
      <c r="CX22" s="313"/>
      <c r="CY22" s="313"/>
      <c r="CZ22" s="313"/>
      <c r="DA22" s="313"/>
      <c r="DB22" s="313"/>
      <c r="DC22" s="313"/>
      <c r="DD22" s="313"/>
      <c r="DE22" s="313"/>
      <c r="DF22" s="313"/>
      <c r="DG22" s="313"/>
      <c r="DH22" s="313"/>
      <c r="DI22" s="313"/>
      <c r="DJ22" s="313"/>
      <c r="DK22" s="313"/>
      <c r="DL22" s="313"/>
      <c r="DM22" s="313"/>
      <c r="DN22" s="313"/>
      <c r="DO22" s="313"/>
      <c r="DP22" s="313"/>
      <c r="DQ22" s="313"/>
      <c r="DR22" s="313"/>
      <c r="DS22" s="313"/>
      <c r="DT22" s="313"/>
      <c r="DU22" s="313"/>
    </row>
    <row r="23" spans="1:125" s="314" customFormat="1" ht="27" customHeight="1">
      <c r="A23" s="323"/>
      <c r="B23" s="324"/>
      <c r="C23" s="324"/>
      <c r="D23" s="358" t="s">
        <v>682</v>
      </c>
      <c r="E23" s="324"/>
      <c r="F23" s="337"/>
      <c r="G23" s="326"/>
      <c r="H23" s="326"/>
      <c r="I23" s="327"/>
      <c r="J23" s="364"/>
      <c r="K23" s="1117"/>
      <c r="L23" s="362"/>
      <c r="M23" s="362"/>
      <c r="N23" s="313"/>
      <c r="O23" s="313"/>
      <c r="P23" s="313"/>
      <c r="Q23" s="313"/>
      <c r="R23" s="313"/>
      <c r="S23" s="313"/>
      <c r="T23" s="313"/>
      <c r="U23" s="313"/>
      <c r="V23" s="1116"/>
      <c r="W23" s="313"/>
      <c r="X23" s="313"/>
      <c r="Y23" s="313"/>
      <c r="Z23" s="313"/>
      <c r="AA23" s="313"/>
      <c r="AB23" s="313"/>
      <c r="AC23" s="313"/>
      <c r="AD23" s="313"/>
      <c r="AE23" s="313"/>
      <c r="AF23" s="313"/>
      <c r="AG23" s="313"/>
      <c r="AH23" s="313"/>
      <c r="AI23" s="313"/>
      <c r="AJ23" s="313"/>
      <c r="AK23" s="313"/>
      <c r="AL23" s="313"/>
      <c r="AM23" s="313"/>
      <c r="AN23" s="313"/>
      <c r="AO23" s="313"/>
      <c r="AP23" s="313"/>
      <c r="AQ23" s="313"/>
      <c r="AR23" s="313"/>
      <c r="AS23" s="313"/>
      <c r="AT23" s="313"/>
      <c r="AU23" s="313"/>
      <c r="AV23" s="313"/>
      <c r="AW23" s="313"/>
      <c r="AX23" s="313"/>
      <c r="AY23" s="313"/>
      <c r="AZ23" s="313"/>
      <c r="BA23" s="313"/>
      <c r="BB23" s="313"/>
      <c r="BC23" s="313"/>
      <c r="BD23" s="313"/>
      <c r="BE23" s="313"/>
      <c r="BF23" s="313"/>
      <c r="BG23" s="313"/>
      <c r="BH23" s="313"/>
      <c r="BI23" s="313"/>
      <c r="BJ23" s="313"/>
      <c r="BK23" s="313"/>
      <c r="BL23" s="313"/>
      <c r="BM23" s="313"/>
      <c r="BN23" s="313"/>
      <c r="BO23" s="313"/>
      <c r="BP23" s="313"/>
      <c r="BQ23" s="313"/>
      <c r="BR23" s="313"/>
      <c r="BS23" s="313"/>
      <c r="BT23" s="313"/>
      <c r="BU23" s="313"/>
      <c r="BV23" s="313"/>
      <c r="BW23" s="313"/>
      <c r="BX23" s="313"/>
      <c r="BY23" s="313"/>
      <c r="BZ23" s="313"/>
      <c r="CA23" s="313"/>
      <c r="CB23" s="313"/>
      <c r="CC23" s="313"/>
      <c r="CD23" s="313"/>
      <c r="CE23" s="313"/>
      <c r="CF23" s="313"/>
      <c r="CG23" s="313"/>
      <c r="CH23" s="313"/>
      <c r="CI23" s="313"/>
      <c r="CJ23" s="313"/>
      <c r="CK23" s="313"/>
      <c r="CL23" s="313"/>
      <c r="CM23" s="313"/>
      <c r="CN23" s="313"/>
      <c r="CO23" s="313"/>
      <c r="CP23" s="313"/>
      <c r="CQ23" s="313"/>
      <c r="CR23" s="313"/>
      <c r="CS23" s="313"/>
      <c r="CT23" s="313"/>
      <c r="CU23" s="313"/>
      <c r="CV23" s="313"/>
      <c r="CW23" s="313"/>
      <c r="CX23" s="313"/>
      <c r="CY23" s="313"/>
      <c r="CZ23" s="313"/>
      <c r="DA23" s="313"/>
      <c r="DB23" s="313"/>
      <c r="DC23" s="313"/>
      <c r="DD23" s="313"/>
      <c r="DE23" s="313"/>
      <c r="DF23" s="313"/>
      <c r="DG23" s="313"/>
      <c r="DH23" s="313"/>
      <c r="DI23" s="313"/>
      <c r="DJ23" s="313"/>
      <c r="DK23" s="313"/>
      <c r="DL23" s="313"/>
      <c r="DM23" s="313"/>
      <c r="DN23" s="313"/>
      <c r="DO23" s="313"/>
      <c r="DP23" s="313"/>
      <c r="DQ23" s="313"/>
      <c r="DR23" s="313"/>
      <c r="DS23" s="313"/>
      <c r="DT23" s="313"/>
      <c r="DU23" s="313"/>
    </row>
    <row r="24" spans="1:125" s="314" customFormat="1" ht="81" customHeight="1">
      <c r="A24" s="323"/>
      <c r="B24" s="324"/>
      <c r="C24" s="324"/>
      <c r="D24" s="403" t="s">
        <v>677</v>
      </c>
      <c r="E24" s="324"/>
      <c r="F24" s="324"/>
      <c r="G24" s="326"/>
      <c r="H24" s="326"/>
      <c r="I24" s="1118"/>
      <c r="J24" s="364"/>
      <c r="K24" s="1117"/>
      <c r="L24" s="362"/>
      <c r="M24" s="362"/>
      <c r="N24" s="313"/>
      <c r="O24" s="313"/>
      <c r="P24" s="313"/>
      <c r="Q24" s="313"/>
      <c r="R24" s="313"/>
      <c r="S24" s="313"/>
      <c r="T24" s="313"/>
      <c r="U24" s="313"/>
      <c r="V24" s="1116"/>
      <c r="W24" s="313"/>
      <c r="X24" s="313"/>
      <c r="Y24" s="313"/>
      <c r="Z24" s="313"/>
      <c r="AA24" s="313"/>
      <c r="AB24" s="313"/>
      <c r="AC24" s="313"/>
      <c r="AD24" s="313"/>
      <c r="AE24" s="313"/>
      <c r="AF24" s="313"/>
      <c r="AG24" s="313"/>
      <c r="AH24" s="313"/>
      <c r="AI24" s="313"/>
      <c r="AJ24" s="313"/>
      <c r="AK24" s="313"/>
      <c r="AL24" s="313"/>
      <c r="AM24" s="313"/>
      <c r="AN24" s="313"/>
      <c r="AO24" s="313"/>
      <c r="AP24" s="313"/>
      <c r="AQ24" s="313"/>
      <c r="AR24" s="313"/>
      <c r="AS24" s="313"/>
      <c r="AT24" s="313"/>
      <c r="AU24" s="313"/>
      <c r="AV24" s="313"/>
      <c r="AW24" s="313"/>
      <c r="AX24" s="313"/>
      <c r="AY24" s="313"/>
      <c r="AZ24" s="313"/>
      <c r="BA24" s="313"/>
      <c r="BB24" s="313"/>
      <c r="BC24" s="313"/>
      <c r="BD24" s="313"/>
      <c r="BE24" s="313"/>
      <c r="BF24" s="313"/>
      <c r="BG24" s="313"/>
      <c r="BH24" s="313"/>
      <c r="BI24" s="313"/>
      <c r="BJ24" s="313"/>
      <c r="BK24" s="313"/>
      <c r="BL24" s="313"/>
      <c r="BM24" s="313"/>
      <c r="BN24" s="313"/>
      <c r="BO24" s="313"/>
      <c r="BP24" s="313"/>
      <c r="BQ24" s="313"/>
      <c r="BR24" s="313"/>
      <c r="BS24" s="313"/>
      <c r="BT24" s="313"/>
      <c r="BU24" s="313"/>
      <c r="BV24" s="313"/>
      <c r="BW24" s="313"/>
      <c r="BX24" s="313"/>
      <c r="BY24" s="313"/>
      <c r="BZ24" s="313"/>
      <c r="CA24" s="313"/>
      <c r="CB24" s="313"/>
      <c r="CC24" s="313"/>
      <c r="CD24" s="313"/>
      <c r="CE24" s="313"/>
      <c r="CF24" s="313"/>
      <c r="CG24" s="313"/>
      <c r="CH24" s="313"/>
      <c r="CI24" s="313"/>
      <c r="CJ24" s="313"/>
      <c r="CK24" s="313"/>
      <c r="CL24" s="313"/>
      <c r="CM24" s="313"/>
      <c r="CN24" s="313"/>
      <c r="CO24" s="313"/>
      <c r="CP24" s="313"/>
      <c r="CQ24" s="313"/>
      <c r="CR24" s="313"/>
      <c r="CS24" s="313"/>
      <c r="CT24" s="313"/>
      <c r="CU24" s="313"/>
      <c r="CV24" s="313"/>
      <c r="CW24" s="313"/>
      <c r="CX24" s="313"/>
      <c r="CY24" s="313"/>
      <c r="CZ24" s="313"/>
      <c r="DA24" s="313"/>
      <c r="DB24" s="313"/>
      <c r="DC24" s="313"/>
      <c r="DD24" s="313"/>
      <c r="DE24" s="313"/>
      <c r="DF24" s="313"/>
      <c r="DG24" s="313"/>
      <c r="DH24" s="313"/>
      <c r="DI24" s="313"/>
      <c r="DJ24" s="313"/>
      <c r="DK24" s="313"/>
      <c r="DL24" s="313"/>
      <c r="DM24" s="313"/>
      <c r="DN24" s="313"/>
      <c r="DO24" s="313"/>
      <c r="DP24" s="313"/>
      <c r="DQ24" s="313"/>
      <c r="DR24" s="313"/>
      <c r="DS24" s="313"/>
      <c r="DT24" s="313"/>
      <c r="DU24" s="313"/>
    </row>
    <row r="25" spans="1:125" s="314" customFormat="1" ht="108" customHeight="1">
      <c r="A25" s="395"/>
      <c r="B25" s="396"/>
      <c r="C25" s="397"/>
      <c r="D25" s="403" t="s">
        <v>679</v>
      </c>
      <c r="E25" s="397"/>
      <c r="F25" s="399"/>
      <c r="G25" s="400"/>
      <c r="H25" s="400"/>
      <c r="I25" s="1119"/>
      <c r="J25" s="402"/>
      <c r="K25" s="313"/>
      <c r="L25" s="362"/>
      <c r="M25" s="362"/>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3"/>
      <c r="AL25" s="313"/>
      <c r="AM25" s="313"/>
      <c r="AN25" s="313"/>
      <c r="AO25" s="313"/>
      <c r="AP25" s="313"/>
      <c r="AQ25" s="313"/>
      <c r="AR25" s="313"/>
      <c r="AS25" s="313"/>
      <c r="AT25" s="313"/>
      <c r="AU25" s="313"/>
      <c r="AV25" s="313"/>
    </row>
    <row r="26" spans="1:125" s="314" customFormat="1" ht="13.5" customHeight="1">
      <c r="A26" s="395"/>
      <c r="B26" s="396"/>
      <c r="C26" s="397"/>
      <c r="D26" s="403" t="s">
        <v>672</v>
      </c>
      <c r="E26" s="397"/>
      <c r="F26" s="399"/>
      <c r="G26" s="400"/>
      <c r="H26" s="400"/>
      <c r="I26" s="401"/>
      <c r="J26" s="402"/>
      <c r="K26" s="313"/>
      <c r="L26" s="362"/>
      <c r="M26" s="362"/>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3"/>
      <c r="AL26" s="313"/>
      <c r="AM26" s="313"/>
      <c r="AN26" s="313"/>
      <c r="AO26" s="313"/>
      <c r="AP26" s="313"/>
      <c r="AQ26" s="313"/>
      <c r="AR26" s="313"/>
      <c r="AS26" s="313"/>
      <c r="AT26" s="313"/>
      <c r="AU26" s="313"/>
      <c r="AV26" s="313"/>
    </row>
    <row r="27" spans="1:125" s="314" customFormat="1" ht="13.5" customHeight="1">
      <c r="A27" s="323"/>
      <c r="B27" s="324"/>
      <c r="C27" s="324"/>
      <c r="D27" s="358" t="s">
        <v>683</v>
      </c>
      <c r="E27" s="324"/>
      <c r="F27" s="325"/>
      <c r="G27" s="326"/>
      <c r="H27" s="326"/>
      <c r="I27" s="327"/>
      <c r="J27" s="1120"/>
      <c r="K27" s="1121"/>
      <c r="L27" s="1122"/>
      <c r="M27" s="1122"/>
      <c r="N27" s="112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3"/>
      <c r="AL27" s="313"/>
      <c r="AM27" s="313"/>
      <c r="AN27" s="313"/>
      <c r="AO27" s="313"/>
      <c r="AP27" s="313"/>
      <c r="AQ27" s="313"/>
      <c r="AR27" s="313"/>
      <c r="AS27" s="313"/>
      <c r="AT27" s="313"/>
      <c r="AU27" s="313"/>
      <c r="AV27" s="313"/>
      <c r="AW27" s="313"/>
      <c r="AX27" s="313"/>
      <c r="AY27" s="313"/>
      <c r="AZ27" s="313"/>
      <c r="BA27" s="313"/>
      <c r="BB27" s="313"/>
      <c r="BC27" s="313"/>
      <c r="BD27" s="313"/>
      <c r="BE27" s="313"/>
      <c r="BF27" s="313"/>
      <c r="BG27" s="313"/>
      <c r="BH27" s="313"/>
      <c r="BI27" s="313"/>
      <c r="BJ27" s="313"/>
      <c r="BK27" s="313"/>
      <c r="BL27" s="313"/>
      <c r="BM27" s="313"/>
      <c r="BN27" s="313"/>
      <c r="BO27" s="313"/>
      <c r="BP27" s="313"/>
      <c r="BQ27" s="313"/>
      <c r="BR27" s="313"/>
      <c r="BS27" s="313"/>
      <c r="BT27" s="313"/>
      <c r="BU27" s="313"/>
      <c r="BV27" s="313"/>
      <c r="BW27" s="313"/>
      <c r="BX27" s="313"/>
      <c r="BY27" s="313"/>
      <c r="BZ27" s="313"/>
      <c r="CA27" s="313"/>
      <c r="CB27" s="313"/>
      <c r="CC27" s="313"/>
      <c r="CD27" s="313"/>
      <c r="CE27" s="313"/>
      <c r="CF27" s="313"/>
      <c r="CG27" s="313"/>
      <c r="CH27" s="313"/>
      <c r="CI27" s="313"/>
      <c r="CJ27" s="313"/>
      <c r="CK27" s="313"/>
      <c r="CL27" s="313"/>
      <c r="CM27" s="313"/>
      <c r="CN27" s="313"/>
      <c r="CO27" s="313"/>
      <c r="CP27" s="313"/>
      <c r="CQ27" s="313"/>
      <c r="CR27" s="313"/>
      <c r="CS27" s="313"/>
      <c r="CT27" s="313"/>
      <c r="CU27" s="313"/>
      <c r="CV27" s="313"/>
      <c r="CW27" s="313"/>
      <c r="CX27" s="313"/>
      <c r="CY27" s="313"/>
      <c r="CZ27" s="313"/>
      <c r="DA27" s="313"/>
      <c r="DB27" s="313"/>
      <c r="DC27" s="313"/>
      <c r="DD27" s="313"/>
      <c r="DE27" s="313"/>
      <c r="DF27" s="313"/>
      <c r="DG27" s="313"/>
      <c r="DH27" s="313"/>
      <c r="DI27" s="313"/>
      <c r="DJ27" s="313"/>
      <c r="DK27" s="313"/>
      <c r="DL27" s="313"/>
      <c r="DM27" s="313"/>
      <c r="DN27" s="313"/>
      <c r="DO27" s="313"/>
      <c r="DP27" s="313"/>
      <c r="DQ27" s="313"/>
      <c r="DR27" s="313"/>
      <c r="DS27" s="313"/>
      <c r="DT27" s="313"/>
      <c r="DU27" s="313"/>
    </row>
    <row r="28" spans="1:125" s="335" customFormat="1" ht="67.5" customHeight="1">
      <c r="A28" s="454"/>
      <c r="B28" s="444"/>
      <c r="C28" s="455"/>
      <c r="D28" s="388" t="s">
        <v>195</v>
      </c>
      <c r="E28" s="456"/>
      <c r="F28" s="447"/>
      <c r="G28" s="996"/>
      <c r="H28" s="1124"/>
      <c r="I28" s="458"/>
      <c r="J28" s="1120"/>
      <c r="K28" s="452"/>
      <c r="L28" s="460"/>
      <c r="M28" s="460"/>
      <c r="N28" s="460"/>
      <c r="O28" s="452"/>
      <c r="P28" s="452"/>
      <c r="Q28" s="452"/>
      <c r="R28" s="452"/>
      <c r="S28" s="461"/>
      <c r="T28" s="1125"/>
      <c r="U28" s="373"/>
      <c r="V28" s="373"/>
      <c r="W28" s="373"/>
      <c r="X28" s="373"/>
      <c r="Y28" s="333"/>
      <c r="Z28" s="333"/>
      <c r="AA28" s="333"/>
      <c r="AB28" s="333"/>
      <c r="AC28" s="333"/>
      <c r="AD28" s="333"/>
      <c r="AE28" s="333"/>
      <c r="AF28" s="333"/>
      <c r="AG28" s="333"/>
      <c r="AH28" s="333"/>
      <c r="AI28" s="333"/>
      <c r="AJ28" s="333"/>
      <c r="AK28" s="333"/>
      <c r="AL28" s="333"/>
      <c r="AM28" s="333"/>
      <c r="AN28" s="333"/>
      <c r="AO28" s="333"/>
      <c r="AP28" s="333"/>
      <c r="AQ28" s="333"/>
      <c r="AR28" s="333"/>
      <c r="AS28" s="333"/>
      <c r="AT28" s="333"/>
      <c r="AU28" s="333"/>
      <c r="AV28" s="333"/>
      <c r="AW28" s="333"/>
      <c r="AX28" s="333"/>
      <c r="AY28" s="333"/>
      <c r="AZ28" s="333"/>
      <c r="BA28" s="333"/>
      <c r="BB28" s="333"/>
      <c r="BC28" s="333"/>
      <c r="BD28" s="333"/>
      <c r="BE28" s="333"/>
      <c r="BF28" s="333"/>
      <c r="BG28" s="333"/>
      <c r="BH28" s="333"/>
      <c r="BI28" s="333"/>
      <c r="BJ28" s="333"/>
      <c r="BK28" s="333"/>
      <c r="BL28" s="333"/>
      <c r="BM28" s="333"/>
      <c r="BN28" s="333"/>
      <c r="BO28" s="333"/>
      <c r="BP28" s="333"/>
      <c r="BQ28" s="333"/>
      <c r="BR28" s="333"/>
      <c r="BS28" s="333"/>
      <c r="BT28" s="333"/>
      <c r="BU28" s="333"/>
      <c r="BV28" s="333"/>
      <c r="BW28" s="333"/>
      <c r="BX28" s="333"/>
      <c r="BY28" s="333"/>
      <c r="BZ28" s="333"/>
      <c r="CA28" s="333"/>
      <c r="CB28" s="333"/>
      <c r="CC28" s="333"/>
      <c r="CD28" s="333"/>
      <c r="CE28" s="333"/>
      <c r="CF28" s="333"/>
      <c r="CG28" s="333"/>
      <c r="CH28" s="333"/>
      <c r="CI28" s="333"/>
      <c r="CJ28" s="333"/>
      <c r="CK28" s="333"/>
      <c r="CL28" s="333"/>
      <c r="CM28" s="333"/>
      <c r="CN28" s="333"/>
      <c r="CO28" s="333"/>
      <c r="CP28" s="333"/>
      <c r="CQ28" s="333"/>
      <c r="CR28" s="333"/>
      <c r="CS28" s="333"/>
      <c r="CT28" s="333"/>
      <c r="CU28" s="333"/>
      <c r="CV28" s="333"/>
      <c r="CW28" s="333"/>
      <c r="CX28" s="333"/>
      <c r="CY28" s="333"/>
      <c r="CZ28" s="333"/>
      <c r="DA28" s="333"/>
      <c r="DB28" s="333"/>
      <c r="DC28" s="333"/>
      <c r="DD28" s="333"/>
      <c r="DE28" s="333"/>
      <c r="DF28" s="333"/>
      <c r="DG28" s="333"/>
      <c r="DH28" s="333"/>
      <c r="DI28" s="333"/>
      <c r="DJ28" s="333"/>
      <c r="DK28" s="333"/>
      <c r="DL28" s="333"/>
      <c r="DM28" s="333"/>
      <c r="DN28" s="333"/>
      <c r="DO28" s="333"/>
      <c r="DP28" s="333"/>
      <c r="DQ28" s="333"/>
      <c r="DR28" s="333"/>
      <c r="DS28" s="333"/>
      <c r="DT28" s="333"/>
      <c r="DU28" s="333"/>
    </row>
    <row r="29" spans="1:125" s="314" customFormat="1" ht="13.5" customHeight="1">
      <c r="A29" s="352">
        <v>6</v>
      </c>
      <c r="B29" s="330" t="s">
        <v>196</v>
      </c>
      <c r="C29" s="354">
        <v>981513114</v>
      </c>
      <c r="D29" s="354" t="s">
        <v>198</v>
      </c>
      <c r="E29" s="354" t="s">
        <v>122</v>
      </c>
      <c r="F29" s="355">
        <f>SUM(F31:F32)</f>
        <v>1.7669999999999999</v>
      </c>
      <c r="G29" s="503"/>
      <c r="H29" s="356">
        <f>F29*G29</f>
        <v>0</v>
      </c>
      <c r="I29" s="332" t="s">
        <v>738</v>
      </c>
      <c r="J29" s="411"/>
      <c r="K29" s="313"/>
      <c r="L29" s="362"/>
      <c r="M29" s="362"/>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3"/>
      <c r="AK29" s="313"/>
      <c r="AL29" s="313"/>
      <c r="AM29" s="313"/>
      <c r="AN29" s="313"/>
      <c r="AO29" s="313"/>
      <c r="AP29" s="313"/>
      <c r="AQ29" s="313"/>
      <c r="AR29" s="313"/>
      <c r="AS29" s="313"/>
      <c r="AT29" s="313"/>
      <c r="AU29" s="313"/>
      <c r="AV29" s="313"/>
    </row>
    <row r="30" spans="1:125" s="314" customFormat="1" ht="13.5" customHeight="1">
      <c r="A30" s="352"/>
      <c r="B30" s="354"/>
      <c r="C30" s="354"/>
      <c r="D30" s="358" t="s">
        <v>674</v>
      </c>
      <c r="E30" s="354"/>
      <c r="F30" s="313"/>
      <c r="G30" s="356"/>
      <c r="H30" s="356"/>
      <c r="I30" s="360"/>
      <c r="J30" s="376"/>
      <c r="K30" s="413"/>
      <c r="L30" s="362"/>
      <c r="M30" s="362"/>
      <c r="N30" s="413"/>
      <c r="O30" s="413"/>
      <c r="P30" s="413"/>
      <c r="Q30" s="313"/>
      <c r="R30" s="313"/>
      <c r="S30" s="313"/>
      <c r="T30" s="313"/>
      <c r="U30" s="313"/>
      <c r="V30" s="313"/>
      <c r="W30" s="313"/>
      <c r="X30" s="313"/>
      <c r="Y30" s="313"/>
      <c r="Z30" s="313"/>
      <c r="AA30" s="313"/>
      <c r="AB30" s="313"/>
      <c r="AC30" s="313"/>
      <c r="AD30" s="313"/>
      <c r="AE30" s="313"/>
      <c r="AF30" s="313"/>
      <c r="AG30" s="313"/>
      <c r="AH30" s="313"/>
      <c r="AI30" s="313"/>
      <c r="AJ30" s="313"/>
      <c r="AK30" s="313"/>
      <c r="AL30" s="313"/>
      <c r="AM30" s="313"/>
      <c r="AN30" s="313"/>
      <c r="AO30" s="313"/>
      <c r="AP30" s="313"/>
      <c r="AQ30" s="313"/>
      <c r="AR30" s="313"/>
      <c r="AS30" s="313"/>
      <c r="AT30" s="313"/>
      <c r="AU30" s="313"/>
      <c r="AV30" s="313"/>
    </row>
    <row r="31" spans="1:125" s="314" customFormat="1" ht="13.5" customHeight="1">
      <c r="A31" s="352"/>
      <c r="B31" s="354"/>
      <c r="C31" s="354"/>
      <c r="D31" s="358" t="s">
        <v>675</v>
      </c>
      <c r="E31" s="354"/>
      <c r="F31" s="392">
        <f>((3.8+1.45*2)*0.3)*0.2</f>
        <v>0.40199999999999997</v>
      </c>
      <c r="G31" s="356"/>
      <c r="H31" s="356"/>
      <c r="I31" s="360"/>
      <c r="J31" s="376"/>
      <c r="K31" s="413"/>
      <c r="L31" s="362"/>
      <c r="M31" s="362"/>
      <c r="N31" s="413"/>
      <c r="O31" s="413"/>
      <c r="P31" s="413"/>
      <c r="Q31" s="313"/>
      <c r="R31" s="313"/>
      <c r="S31" s="313"/>
      <c r="T31" s="313"/>
      <c r="U31" s="313"/>
      <c r="V31" s="313"/>
      <c r="W31" s="313"/>
      <c r="X31" s="313"/>
      <c r="Y31" s="313"/>
      <c r="Z31" s="313"/>
      <c r="AA31" s="313"/>
      <c r="AB31" s="313"/>
      <c r="AC31" s="313"/>
      <c r="AD31" s="313"/>
      <c r="AE31" s="313"/>
      <c r="AF31" s="313"/>
      <c r="AG31" s="313"/>
      <c r="AH31" s="313"/>
      <c r="AI31" s="313"/>
      <c r="AJ31" s="313"/>
      <c r="AK31" s="313"/>
      <c r="AL31" s="313"/>
      <c r="AM31" s="313"/>
      <c r="AN31" s="313"/>
      <c r="AO31" s="313"/>
      <c r="AP31" s="313"/>
      <c r="AQ31" s="313"/>
      <c r="AR31" s="313"/>
      <c r="AS31" s="313"/>
      <c r="AT31" s="313"/>
      <c r="AU31" s="313"/>
      <c r="AV31" s="313"/>
    </row>
    <row r="32" spans="1:125" s="314" customFormat="1" ht="13.5" customHeight="1">
      <c r="A32" s="352"/>
      <c r="B32" s="354"/>
      <c r="C32" s="354"/>
      <c r="D32" s="358" t="s">
        <v>676</v>
      </c>
      <c r="E32" s="354"/>
      <c r="F32" s="392">
        <f>((6.5+6.5)*0.3)*0.35</f>
        <v>1.365</v>
      </c>
      <c r="G32" s="356"/>
      <c r="H32" s="356"/>
      <c r="I32" s="360"/>
      <c r="J32" s="376"/>
      <c r="K32" s="413"/>
      <c r="L32" s="362"/>
      <c r="M32" s="362"/>
      <c r="N32" s="413"/>
      <c r="O32" s="413"/>
      <c r="P32" s="413"/>
      <c r="Q32" s="313"/>
      <c r="R32" s="313"/>
      <c r="S32" s="313"/>
      <c r="T32" s="313"/>
      <c r="U32" s="313"/>
      <c r="V32" s="313"/>
      <c r="W32" s="313"/>
      <c r="X32" s="313"/>
      <c r="Y32" s="313"/>
      <c r="Z32" s="313"/>
      <c r="AA32" s="313"/>
      <c r="AB32" s="313"/>
      <c r="AC32" s="313"/>
      <c r="AD32" s="313"/>
      <c r="AE32" s="313"/>
      <c r="AF32" s="313"/>
      <c r="AG32" s="313"/>
      <c r="AH32" s="313"/>
      <c r="AI32" s="313"/>
      <c r="AJ32" s="313"/>
      <c r="AK32" s="313"/>
      <c r="AL32" s="313"/>
      <c r="AM32" s="313"/>
      <c r="AN32" s="313"/>
      <c r="AO32" s="313"/>
      <c r="AP32" s="313"/>
      <c r="AQ32" s="313"/>
      <c r="AR32" s="313"/>
      <c r="AS32" s="313"/>
      <c r="AT32" s="313"/>
      <c r="AU32" s="313"/>
      <c r="AV32" s="313"/>
    </row>
    <row r="33" spans="1:125" s="314" customFormat="1" ht="27" customHeight="1">
      <c r="A33" s="416">
        <v>7</v>
      </c>
      <c r="B33" s="353" t="s">
        <v>208</v>
      </c>
      <c r="C33" s="354" t="s">
        <v>202</v>
      </c>
      <c r="D33" s="354" t="s">
        <v>433</v>
      </c>
      <c r="E33" s="354" t="s">
        <v>98</v>
      </c>
      <c r="F33" s="355">
        <f>SUM(F35:F35)</f>
        <v>24.7</v>
      </c>
      <c r="G33" s="503"/>
      <c r="H33" s="356">
        <f>F33*G33</f>
        <v>0</v>
      </c>
      <c r="I33" s="332" t="s">
        <v>740</v>
      </c>
      <c r="J33" s="418"/>
      <c r="K33" s="419"/>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13"/>
      <c r="AL33" s="313"/>
      <c r="AM33" s="313"/>
      <c r="AN33" s="313"/>
      <c r="AO33" s="313"/>
      <c r="AP33" s="313"/>
      <c r="AQ33" s="313"/>
      <c r="AR33" s="313"/>
      <c r="AS33" s="313"/>
      <c r="AT33" s="313"/>
      <c r="AU33" s="313"/>
      <c r="AV33" s="313"/>
    </row>
    <row r="34" spans="1:125" s="314" customFormat="1" ht="67.5" customHeight="1">
      <c r="A34" s="420"/>
      <c r="B34" s="354"/>
      <c r="C34" s="354"/>
      <c r="D34" s="421" t="s">
        <v>667</v>
      </c>
      <c r="E34" s="354"/>
      <c r="F34" s="392"/>
      <c r="G34" s="356"/>
      <c r="H34" s="356"/>
      <c r="I34" s="422"/>
      <c r="J34" s="418"/>
      <c r="K34" s="419"/>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3"/>
      <c r="AL34" s="313"/>
      <c r="AM34" s="313"/>
      <c r="AN34" s="313"/>
      <c r="AO34" s="313"/>
      <c r="AP34" s="313"/>
      <c r="AQ34" s="313"/>
      <c r="AR34" s="313"/>
      <c r="AS34" s="313"/>
      <c r="AT34" s="313"/>
      <c r="AU34" s="313"/>
      <c r="AV34" s="313"/>
    </row>
    <row r="35" spans="1:125" s="432" customFormat="1" ht="13.5" customHeight="1">
      <c r="A35" s="423"/>
      <c r="B35" s="424"/>
      <c r="C35" s="425"/>
      <c r="D35" s="426" t="s">
        <v>685</v>
      </c>
      <c r="E35" s="427"/>
      <c r="F35" s="428">
        <f>6.5*3.8</f>
        <v>24.7</v>
      </c>
      <c r="G35" s="429"/>
      <c r="H35" s="429"/>
      <c r="I35" s="417"/>
      <c r="J35" s="430"/>
      <c r="K35" s="431"/>
      <c r="L35" s="431"/>
      <c r="M35" s="431"/>
      <c r="N35" s="431"/>
      <c r="O35" s="431"/>
      <c r="P35" s="431"/>
      <c r="Q35" s="431"/>
      <c r="R35" s="431"/>
      <c r="S35" s="431"/>
      <c r="T35" s="431"/>
      <c r="U35" s="431"/>
      <c r="V35" s="431"/>
      <c r="W35" s="431"/>
      <c r="X35" s="431"/>
      <c r="Y35" s="431"/>
      <c r="Z35" s="431"/>
      <c r="AA35" s="431"/>
      <c r="AB35" s="431"/>
      <c r="AC35" s="431"/>
      <c r="AD35" s="431"/>
      <c r="AE35" s="431"/>
      <c r="AF35" s="431"/>
      <c r="AG35" s="431"/>
      <c r="AH35" s="431"/>
      <c r="AI35" s="431"/>
      <c r="AJ35" s="431"/>
      <c r="AK35" s="431"/>
      <c r="AL35" s="431"/>
      <c r="AM35" s="431"/>
      <c r="AN35" s="431"/>
      <c r="AO35" s="431"/>
      <c r="AP35" s="431"/>
      <c r="AQ35" s="431"/>
      <c r="AR35" s="431"/>
      <c r="AS35" s="431"/>
      <c r="AT35" s="431"/>
      <c r="AU35" s="431"/>
      <c r="AV35" s="431"/>
    </row>
    <row r="36" spans="1:125" s="314" customFormat="1" ht="67.5" customHeight="1">
      <c r="A36" s="352"/>
      <c r="B36" s="354"/>
      <c r="C36" s="354"/>
      <c r="D36" s="388" t="s">
        <v>195</v>
      </c>
      <c r="E36" s="354"/>
      <c r="F36" s="354"/>
      <c r="G36" s="356"/>
      <c r="H36" s="356"/>
      <c r="I36" s="332"/>
      <c r="J36" s="43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3"/>
      <c r="AL36" s="313"/>
      <c r="AM36" s="313"/>
      <c r="AN36" s="313"/>
      <c r="AO36" s="313"/>
      <c r="AP36" s="313"/>
      <c r="AQ36" s="313"/>
      <c r="AR36" s="313"/>
      <c r="AS36" s="313"/>
      <c r="AT36" s="313"/>
      <c r="AU36" s="313"/>
      <c r="AV36" s="313"/>
    </row>
    <row r="37" spans="1:125" s="335" customFormat="1" ht="27" customHeight="1">
      <c r="A37" s="434">
        <v>8</v>
      </c>
      <c r="B37" s="424" t="s">
        <v>133</v>
      </c>
      <c r="C37" s="427" t="s">
        <v>186</v>
      </c>
      <c r="D37" s="435" t="s">
        <v>686</v>
      </c>
      <c r="E37" s="435" t="s">
        <v>125</v>
      </c>
      <c r="F37" s="436">
        <f>F38</f>
        <v>4.266</v>
      </c>
      <c r="G37" s="437">
        <f>SUM(H39:H42)/F37</f>
        <v>0</v>
      </c>
      <c r="H37" s="437">
        <f>F37*G37</f>
        <v>0</v>
      </c>
      <c r="I37" s="332" t="s">
        <v>739</v>
      </c>
      <c r="J37" s="459"/>
      <c r="K37" s="452"/>
      <c r="L37" s="452"/>
      <c r="M37" s="452"/>
      <c r="N37" s="452"/>
      <c r="O37" s="452"/>
      <c r="P37" s="452"/>
      <c r="Q37" s="452"/>
      <c r="R37" s="452"/>
      <c r="S37" s="452"/>
      <c r="T37" s="333"/>
      <c r="U37" s="333"/>
      <c r="V37" s="333"/>
      <c r="W37" s="333"/>
      <c r="X37" s="333"/>
      <c r="Y37" s="333"/>
      <c r="Z37" s="333"/>
      <c r="AA37" s="333"/>
      <c r="AB37" s="333"/>
      <c r="AC37" s="333"/>
      <c r="AD37" s="333"/>
      <c r="AE37" s="333"/>
      <c r="AF37" s="333"/>
      <c r="AG37" s="333"/>
      <c r="AH37" s="333"/>
      <c r="AI37" s="333"/>
      <c r="AJ37" s="333"/>
      <c r="AK37" s="333"/>
      <c r="AL37" s="333"/>
      <c r="AM37" s="333"/>
      <c r="AN37" s="333"/>
      <c r="AO37" s="333"/>
      <c r="AP37" s="333"/>
      <c r="AQ37" s="333"/>
      <c r="AR37" s="333"/>
      <c r="AS37" s="333"/>
      <c r="AT37" s="333"/>
      <c r="AU37" s="333"/>
      <c r="AV37" s="333"/>
      <c r="AW37" s="333"/>
      <c r="AX37" s="333"/>
      <c r="AY37" s="333"/>
      <c r="AZ37" s="333"/>
      <c r="BA37" s="333"/>
      <c r="BB37" s="333"/>
      <c r="BC37" s="333"/>
      <c r="BD37" s="333"/>
      <c r="BE37" s="333"/>
      <c r="BF37" s="333"/>
      <c r="BG37" s="333"/>
      <c r="BH37" s="333"/>
      <c r="BI37" s="333"/>
      <c r="BJ37" s="333"/>
      <c r="BK37" s="333"/>
      <c r="BL37" s="333"/>
      <c r="BM37" s="333"/>
      <c r="BN37" s="333"/>
      <c r="BO37" s="333"/>
      <c r="BP37" s="333"/>
      <c r="BQ37" s="333"/>
      <c r="BR37" s="333"/>
      <c r="BS37" s="333"/>
      <c r="BT37" s="333"/>
      <c r="BU37" s="333"/>
      <c r="BV37" s="333"/>
      <c r="BW37" s="333"/>
      <c r="BX37" s="333"/>
      <c r="BY37" s="333"/>
      <c r="BZ37" s="333"/>
      <c r="CA37" s="333"/>
      <c r="CB37" s="333"/>
      <c r="CC37" s="333"/>
      <c r="CD37" s="333"/>
      <c r="CE37" s="333"/>
      <c r="CF37" s="333"/>
      <c r="CG37" s="333"/>
      <c r="CH37" s="333"/>
      <c r="CI37" s="333"/>
      <c r="CJ37" s="333"/>
      <c r="CK37" s="333"/>
      <c r="CL37" s="333"/>
      <c r="CM37" s="333"/>
      <c r="CN37" s="333"/>
      <c r="CO37" s="333"/>
      <c r="CP37" s="333"/>
      <c r="CQ37" s="333"/>
      <c r="CR37" s="333"/>
      <c r="CS37" s="333"/>
      <c r="CT37" s="333"/>
      <c r="CU37" s="333"/>
      <c r="CV37" s="333"/>
      <c r="CW37" s="333"/>
      <c r="CX37" s="333"/>
      <c r="CY37" s="333"/>
      <c r="CZ37" s="333"/>
      <c r="DA37" s="333"/>
      <c r="DB37" s="333"/>
      <c r="DC37" s="333"/>
      <c r="DD37" s="333"/>
      <c r="DE37" s="333"/>
      <c r="DF37" s="333"/>
      <c r="DG37" s="333"/>
      <c r="DH37" s="333"/>
      <c r="DI37" s="333"/>
      <c r="DJ37" s="333"/>
      <c r="DK37" s="333"/>
      <c r="DL37" s="333"/>
      <c r="DM37" s="333"/>
      <c r="DN37" s="333"/>
      <c r="DO37" s="333"/>
      <c r="DP37" s="333"/>
      <c r="DQ37" s="333"/>
      <c r="DR37" s="333"/>
      <c r="DS37" s="333"/>
      <c r="DT37" s="333"/>
      <c r="DU37" s="333"/>
    </row>
    <row r="38" spans="1:125" s="335" customFormat="1" ht="13.5" customHeight="1">
      <c r="A38" s="379"/>
      <c r="B38" s="85"/>
      <c r="C38" s="85"/>
      <c r="D38" s="117" t="s">
        <v>687</v>
      </c>
      <c r="E38" s="439"/>
      <c r="F38" s="337">
        <f>4.266</f>
        <v>4.266</v>
      </c>
      <c r="G38" s="440"/>
      <c r="H38" s="440"/>
      <c r="I38" s="441"/>
      <c r="J38" s="452"/>
      <c r="K38" s="452"/>
      <c r="L38" s="464"/>
      <c r="M38" s="452"/>
      <c r="N38" s="452"/>
      <c r="O38" s="452"/>
      <c r="P38" s="452"/>
      <c r="Q38" s="452"/>
      <c r="R38" s="452"/>
      <c r="S38" s="452"/>
      <c r="T38" s="333"/>
      <c r="U38" s="333"/>
      <c r="V38" s="333"/>
      <c r="W38" s="333"/>
      <c r="X38" s="333"/>
      <c r="Y38" s="333"/>
      <c r="Z38" s="333"/>
      <c r="AA38" s="333"/>
      <c r="AB38" s="333"/>
      <c r="AC38" s="333"/>
      <c r="AD38" s="333"/>
      <c r="AE38" s="333"/>
      <c r="AF38" s="333"/>
      <c r="AG38" s="333"/>
      <c r="AH38" s="333"/>
      <c r="AI38" s="333"/>
      <c r="AJ38" s="333"/>
      <c r="AK38" s="333"/>
      <c r="AL38" s="333"/>
      <c r="AM38" s="333"/>
      <c r="AN38" s="333"/>
      <c r="AO38" s="333"/>
      <c r="AP38" s="333"/>
      <c r="AQ38" s="333"/>
      <c r="AR38" s="333"/>
      <c r="AS38" s="333"/>
      <c r="AT38" s="333"/>
      <c r="AU38" s="333"/>
      <c r="AV38" s="333"/>
      <c r="AW38" s="333"/>
      <c r="AX38" s="333"/>
      <c r="AY38" s="333"/>
      <c r="AZ38" s="333"/>
      <c r="BA38" s="333"/>
      <c r="BB38" s="333"/>
      <c r="BC38" s="333"/>
      <c r="BD38" s="333"/>
      <c r="BE38" s="333"/>
      <c r="BF38" s="333"/>
      <c r="BG38" s="333"/>
      <c r="BH38" s="333"/>
      <c r="BI38" s="333"/>
      <c r="BJ38" s="333"/>
      <c r="BK38" s="333"/>
      <c r="BL38" s="333"/>
      <c r="BM38" s="333"/>
      <c r="BN38" s="333"/>
      <c r="BO38" s="333"/>
      <c r="BP38" s="333"/>
      <c r="BQ38" s="333"/>
      <c r="BR38" s="333"/>
      <c r="BS38" s="333"/>
      <c r="BT38" s="333"/>
      <c r="BU38" s="333"/>
      <c r="BV38" s="333"/>
      <c r="BW38" s="333"/>
      <c r="BX38" s="333"/>
      <c r="BY38" s="333"/>
      <c r="BZ38" s="333"/>
      <c r="CA38" s="333"/>
      <c r="CB38" s="333"/>
      <c r="CC38" s="333"/>
      <c r="CD38" s="333"/>
      <c r="CE38" s="333"/>
      <c r="CF38" s="333"/>
      <c r="CG38" s="333"/>
      <c r="CH38" s="333"/>
      <c r="CI38" s="333"/>
      <c r="CJ38" s="333"/>
      <c r="CK38" s="333"/>
      <c r="CL38" s="333"/>
      <c r="CM38" s="333"/>
      <c r="CN38" s="333"/>
      <c r="CO38" s="333"/>
      <c r="CP38" s="333"/>
      <c r="CQ38" s="333"/>
      <c r="CR38" s="333"/>
      <c r="CS38" s="333"/>
      <c r="CT38" s="333"/>
      <c r="CU38" s="333"/>
      <c r="CV38" s="333"/>
      <c r="CW38" s="333"/>
      <c r="CX38" s="333"/>
      <c r="CY38" s="333"/>
      <c r="CZ38" s="333"/>
      <c r="DA38" s="333"/>
      <c r="DB38" s="333"/>
      <c r="DC38" s="333"/>
      <c r="DD38" s="333"/>
      <c r="DE38" s="333"/>
      <c r="DF38" s="333"/>
      <c r="DG38" s="333"/>
      <c r="DH38" s="333"/>
      <c r="DI38" s="333"/>
      <c r="DJ38" s="333"/>
      <c r="DK38" s="333"/>
      <c r="DL38" s="333"/>
      <c r="DM38" s="333"/>
      <c r="DN38" s="333"/>
      <c r="DO38" s="333"/>
      <c r="DP38" s="333"/>
      <c r="DQ38" s="333"/>
      <c r="DR38" s="333"/>
      <c r="DS38" s="333"/>
      <c r="DT38" s="333"/>
      <c r="DU38" s="333"/>
    </row>
    <row r="39" spans="1:125" s="335" customFormat="1" ht="27" customHeight="1">
      <c r="A39" s="443" t="s">
        <v>203</v>
      </c>
      <c r="B39" s="85"/>
      <c r="C39" s="445">
        <v>997013111</v>
      </c>
      <c r="D39" s="358" t="s">
        <v>187</v>
      </c>
      <c r="E39" s="446" t="s">
        <v>125</v>
      </c>
      <c r="F39" s="447">
        <f>F37</f>
        <v>4.266</v>
      </c>
      <c r="G39" s="81"/>
      <c r="H39" s="448">
        <f>F39*G39</f>
        <v>0</v>
      </c>
      <c r="I39" s="449" t="s">
        <v>738</v>
      </c>
      <c r="J39" s="450"/>
      <c r="K39" s="451"/>
      <c r="L39" s="451"/>
      <c r="M39" s="451"/>
      <c r="N39" s="451"/>
      <c r="O39" s="451"/>
      <c r="P39" s="451"/>
      <c r="Q39" s="452"/>
      <c r="R39" s="452"/>
      <c r="S39" s="453"/>
      <c r="T39" s="347"/>
      <c r="U39" s="333"/>
      <c r="V39" s="333"/>
      <c r="W39" s="333"/>
      <c r="X39" s="333"/>
      <c r="Y39" s="333"/>
      <c r="Z39" s="333"/>
      <c r="AA39" s="333"/>
      <c r="AB39" s="333"/>
      <c r="AC39" s="333"/>
      <c r="AD39" s="333"/>
      <c r="AE39" s="333"/>
      <c r="AF39" s="333"/>
      <c r="AG39" s="333"/>
      <c r="AH39" s="333"/>
      <c r="AI39" s="333"/>
      <c r="AJ39" s="333"/>
      <c r="AK39" s="333"/>
      <c r="AL39" s="333"/>
      <c r="AM39" s="333"/>
      <c r="AN39" s="333"/>
      <c r="AO39" s="333"/>
      <c r="AP39" s="333"/>
      <c r="AQ39" s="333"/>
      <c r="AR39" s="333"/>
      <c r="AS39" s="333"/>
      <c r="AT39" s="333"/>
      <c r="AU39" s="333"/>
      <c r="AV39" s="333"/>
      <c r="AW39" s="333"/>
      <c r="AX39" s="333"/>
      <c r="AY39" s="333"/>
      <c r="AZ39" s="333"/>
      <c r="BA39" s="333"/>
      <c r="BB39" s="333"/>
      <c r="BC39" s="333"/>
      <c r="BD39" s="333"/>
      <c r="BE39" s="333"/>
      <c r="BF39" s="333"/>
      <c r="BG39" s="333"/>
      <c r="BH39" s="333"/>
      <c r="BI39" s="333"/>
      <c r="BJ39" s="333"/>
      <c r="BK39" s="333"/>
      <c r="BL39" s="333"/>
      <c r="BM39" s="333"/>
      <c r="BN39" s="333"/>
      <c r="BO39" s="333"/>
      <c r="BP39" s="333"/>
      <c r="BQ39" s="333"/>
      <c r="BR39" s="333"/>
      <c r="BS39" s="333"/>
      <c r="BT39" s="333"/>
      <c r="BU39" s="333"/>
      <c r="BV39" s="333"/>
      <c r="BW39" s="333"/>
      <c r="BX39" s="333"/>
      <c r="BY39" s="333"/>
      <c r="BZ39" s="333"/>
      <c r="CA39" s="333"/>
      <c r="CB39" s="333"/>
      <c r="CC39" s="333"/>
      <c r="CD39" s="333"/>
      <c r="CE39" s="333"/>
      <c r="CF39" s="333"/>
      <c r="CG39" s="333"/>
      <c r="CH39" s="333"/>
      <c r="CI39" s="333"/>
      <c r="CJ39" s="333"/>
      <c r="CK39" s="333"/>
      <c r="CL39" s="333"/>
      <c r="CM39" s="333"/>
      <c r="CN39" s="333"/>
      <c r="CO39" s="333"/>
      <c r="CP39" s="333"/>
      <c r="CQ39" s="333"/>
      <c r="CR39" s="333"/>
      <c r="CS39" s="333"/>
      <c r="CT39" s="333"/>
      <c r="CU39" s="333"/>
      <c r="CV39" s="333"/>
      <c r="CW39" s="333"/>
      <c r="CX39" s="333"/>
      <c r="CY39" s="333"/>
      <c r="CZ39" s="333"/>
      <c r="DA39" s="333"/>
      <c r="DB39" s="333"/>
      <c r="DC39" s="333"/>
      <c r="DD39" s="333"/>
      <c r="DE39" s="333"/>
      <c r="DF39" s="333"/>
      <c r="DG39" s="333"/>
      <c r="DH39" s="333"/>
      <c r="DI39" s="333"/>
      <c r="DJ39" s="333"/>
      <c r="DK39" s="333"/>
      <c r="DL39" s="333"/>
      <c r="DM39" s="333"/>
      <c r="DN39" s="333"/>
      <c r="DO39" s="333"/>
      <c r="DP39" s="333"/>
      <c r="DQ39" s="333"/>
      <c r="DR39" s="333"/>
      <c r="DS39" s="333"/>
      <c r="DT39" s="333"/>
      <c r="DU39" s="333"/>
    </row>
    <row r="40" spans="1:125" s="335" customFormat="1" ht="13.5" customHeight="1">
      <c r="A40" s="443" t="s">
        <v>204</v>
      </c>
      <c r="B40" s="444"/>
      <c r="C40" s="445">
        <v>997006512</v>
      </c>
      <c r="D40" s="358" t="s">
        <v>188</v>
      </c>
      <c r="E40" s="446" t="s">
        <v>125</v>
      </c>
      <c r="F40" s="447">
        <f>F37</f>
        <v>4.266</v>
      </c>
      <c r="G40" s="81"/>
      <c r="H40" s="448">
        <f>F40*G40</f>
        <v>0</v>
      </c>
      <c r="I40" s="449" t="s">
        <v>738</v>
      </c>
      <c r="J40" s="450"/>
      <c r="K40" s="451"/>
      <c r="L40" s="451"/>
      <c r="M40" s="451"/>
      <c r="N40" s="451"/>
      <c r="O40" s="451"/>
      <c r="P40" s="451"/>
      <c r="Q40" s="452"/>
      <c r="R40" s="452"/>
      <c r="S40" s="453"/>
      <c r="T40" s="333"/>
      <c r="U40" s="333"/>
      <c r="V40" s="333"/>
      <c r="W40" s="333"/>
      <c r="X40" s="333"/>
      <c r="Y40" s="333"/>
      <c r="Z40" s="333"/>
      <c r="AA40" s="333"/>
      <c r="AB40" s="333"/>
      <c r="AC40" s="333"/>
      <c r="AD40" s="333"/>
      <c r="AE40" s="333"/>
      <c r="AF40" s="333"/>
      <c r="AG40" s="333"/>
      <c r="AH40" s="333"/>
      <c r="AI40" s="333"/>
      <c r="AJ40" s="333"/>
      <c r="AK40" s="333"/>
      <c r="AL40" s="333"/>
      <c r="AM40" s="333"/>
      <c r="AN40" s="333"/>
      <c r="AO40" s="333"/>
      <c r="AP40" s="333"/>
      <c r="AQ40" s="333"/>
      <c r="AR40" s="333"/>
      <c r="AS40" s="333"/>
      <c r="AT40" s="333"/>
      <c r="AU40" s="333"/>
      <c r="AV40" s="333"/>
      <c r="AW40" s="333"/>
      <c r="AX40" s="333"/>
      <c r="AY40" s="333"/>
      <c r="AZ40" s="333"/>
      <c r="BA40" s="333"/>
      <c r="BB40" s="333"/>
      <c r="BC40" s="333"/>
      <c r="BD40" s="333"/>
      <c r="BE40" s="333"/>
      <c r="BF40" s="333"/>
      <c r="BG40" s="333"/>
      <c r="BH40" s="333"/>
      <c r="BI40" s="333"/>
      <c r="BJ40" s="333"/>
      <c r="BK40" s="333"/>
      <c r="BL40" s="333"/>
      <c r="BM40" s="333"/>
      <c r="BN40" s="333"/>
      <c r="BO40" s="333"/>
      <c r="BP40" s="333"/>
      <c r="BQ40" s="333"/>
      <c r="BR40" s="333"/>
      <c r="BS40" s="333"/>
      <c r="BT40" s="333"/>
      <c r="BU40" s="333"/>
      <c r="BV40" s="333"/>
      <c r="BW40" s="333"/>
      <c r="BX40" s="333"/>
      <c r="BY40" s="333"/>
      <c r="BZ40" s="333"/>
      <c r="CA40" s="333"/>
      <c r="CB40" s="333"/>
      <c r="CC40" s="333"/>
      <c r="CD40" s="333"/>
      <c r="CE40" s="333"/>
      <c r="CF40" s="333"/>
      <c r="CG40" s="333"/>
      <c r="CH40" s="333"/>
      <c r="CI40" s="333"/>
      <c r="CJ40" s="333"/>
      <c r="CK40" s="333"/>
      <c r="CL40" s="333"/>
      <c r="CM40" s="333"/>
      <c r="CN40" s="333"/>
      <c r="CO40" s="333"/>
      <c r="CP40" s="333"/>
      <c r="CQ40" s="333"/>
      <c r="CR40" s="333"/>
      <c r="CS40" s="333"/>
      <c r="CT40" s="333"/>
      <c r="CU40" s="333"/>
      <c r="CV40" s="333"/>
      <c r="CW40" s="333"/>
      <c r="CX40" s="333"/>
      <c r="CY40" s="333"/>
      <c r="CZ40" s="333"/>
      <c r="DA40" s="333"/>
      <c r="DB40" s="333"/>
      <c r="DC40" s="333"/>
      <c r="DD40" s="333"/>
      <c r="DE40" s="333"/>
      <c r="DF40" s="333"/>
      <c r="DG40" s="333"/>
      <c r="DH40" s="333"/>
      <c r="DI40" s="333"/>
      <c r="DJ40" s="333"/>
      <c r="DK40" s="333"/>
      <c r="DL40" s="333"/>
      <c r="DM40" s="333"/>
      <c r="DN40" s="333"/>
      <c r="DO40" s="333"/>
      <c r="DP40" s="333"/>
      <c r="DQ40" s="333"/>
      <c r="DR40" s="333"/>
      <c r="DS40" s="333"/>
      <c r="DT40" s="333"/>
      <c r="DU40" s="333"/>
    </row>
    <row r="41" spans="1:125" s="335" customFormat="1" ht="27" customHeight="1">
      <c r="A41" s="443" t="s">
        <v>205</v>
      </c>
      <c r="B41" s="444"/>
      <c r="C41" s="445">
        <v>997006519</v>
      </c>
      <c r="D41" s="358" t="s">
        <v>189</v>
      </c>
      <c r="E41" s="446" t="s">
        <v>125</v>
      </c>
      <c r="F41" s="447">
        <f>F37*5</f>
        <v>21.33</v>
      </c>
      <c r="G41" s="81"/>
      <c r="H41" s="448">
        <f>F41*G41</f>
        <v>0</v>
      </c>
      <c r="I41" s="449" t="s">
        <v>738</v>
      </c>
      <c r="J41" s="450"/>
      <c r="K41" s="451"/>
      <c r="L41" s="451"/>
      <c r="M41" s="451"/>
      <c r="N41" s="451"/>
      <c r="O41" s="451"/>
      <c r="P41" s="451"/>
      <c r="Q41" s="452"/>
      <c r="R41" s="452"/>
      <c r="S41" s="453"/>
      <c r="T41" s="333"/>
      <c r="U41" s="333"/>
      <c r="V41" s="333"/>
      <c r="W41" s="333"/>
      <c r="X41" s="333"/>
      <c r="Y41" s="333"/>
      <c r="Z41" s="333"/>
      <c r="AA41" s="333"/>
      <c r="AB41" s="333"/>
      <c r="AC41" s="333"/>
      <c r="AD41" s="333"/>
      <c r="AE41" s="333"/>
      <c r="AF41" s="333"/>
      <c r="AG41" s="333"/>
      <c r="AH41" s="333"/>
      <c r="AI41" s="333"/>
      <c r="AJ41" s="333"/>
      <c r="AK41" s="333"/>
      <c r="AL41" s="333"/>
      <c r="AM41" s="333"/>
      <c r="AN41" s="333"/>
      <c r="AO41" s="333"/>
      <c r="AP41" s="333"/>
      <c r="AQ41" s="333"/>
      <c r="AR41" s="333"/>
      <c r="AS41" s="333"/>
      <c r="AT41" s="333"/>
      <c r="AU41" s="333"/>
      <c r="AV41" s="333"/>
      <c r="AW41" s="333"/>
      <c r="AX41" s="333"/>
      <c r="AY41" s="333"/>
      <c r="AZ41" s="333"/>
      <c r="BA41" s="333"/>
      <c r="BB41" s="333"/>
      <c r="BC41" s="333"/>
      <c r="BD41" s="333"/>
      <c r="BE41" s="333"/>
      <c r="BF41" s="333"/>
      <c r="BG41" s="333"/>
      <c r="BH41" s="333"/>
      <c r="BI41" s="333"/>
      <c r="BJ41" s="333"/>
      <c r="BK41" s="333"/>
      <c r="BL41" s="333"/>
      <c r="BM41" s="333"/>
      <c r="BN41" s="333"/>
      <c r="BO41" s="333"/>
      <c r="BP41" s="333"/>
      <c r="BQ41" s="333"/>
      <c r="BR41" s="333"/>
      <c r="BS41" s="333"/>
      <c r="BT41" s="333"/>
      <c r="BU41" s="333"/>
      <c r="BV41" s="333"/>
      <c r="BW41" s="333"/>
      <c r="BX41" s="333"/>
      <c r="BY41" s="333"/>
      <c r="BZ41" s="333"/>
      <c r="CA41" s="333"/>
      <c r="CB41" s="333"/>
      <c r="CC41" s="333"/>
      <c r="CD41" s="333"/>
      <c r="CE41" s="333"/>
      <c r="CF41" s="333"/>
      <c r="CG41" s="333"/>
      <c r="CH41" s="333"/>
      <c r="CI41" s="333"/>
      <c r="CJ41" s="333"/>
      <c r="CK41" s="333"/>
      <c r="CL41" s="333"/>
      <c r="CM41" s="333"/>
      <c r="CN41" s="333"/>
      <c r="CO41" s="333"/>
      <c r="CP41" s="333"/>
      <c r="CQ41" s="333"/>
      <c r="CR41" s="333"/>
      <c r="CS41" s="333"/>
      <c r="CT41" s="333"/>
      <c r="CU41" s="333"/>
      <c r="CV41" s="333"/>
      <c r="CW41" s="333"/>
      <c r="CX41" s="333"/>
      <c r="CY41" s="333"/>
      <c r="CZ41" s="333"/>
      <c r="DA41" s="333"/>
      <c r="DB41" s="333"/>
      <c r="DC41" s="333"/>
      <c r="DD41" s="333"/>
      <c r="DE41" s="333"/>
      <c r="DF41" s="333"/>
      <c r="DG41" s="333"/>
      <c r="DH41" s="333"/>
      <c r="DI41" s="333"/>
      <c r="DJ41" s="333"/>
      <c r="DK41" s="333"/>
      <c r="DL41" s="333"/>
      <c r="DM41" s="333"/>
      <c r="DN41" s="333"/>
      <c r="DO41" s="333"/>
      <c r="DP41" s="333"/>
      <c r="DQ41" s="333"/>
      <c r="DR41" s="333"/>
      <c r="DS41" s="333"/>
      <c r="DT41" s="333"/>
      <c r="DU41" s="333"/>
    </row>
    <row r="42" spans="1:125" s="335" customFormat="1" ht="27" customHeight="1">
      <c r="A42" s="443" t="s">
        <v>267</v>
      </c>
      <c r="B42" s="444"/>
      <c r="C42" s="445">
        <v>997013602</v>
      </c>
      <c r="D42" s="358" t="s">
        <v>190</v>
      </c>
      <c r="E42" s="446" t="s">
        <v>125</v>
      </c>
      <c r="F42" s="447">
        <f>F38</f>
        <v>4.266</v>
      </c>
      <c r="G42" s="81"/>
      <c r="H42" s="448">
        <f>F42*G42</f>
        <v>0</v>
      </c>
      <c r="I42" s="449" t="s">
        <v>738</v>
      </c>
      <c r="J42" s="450"/>
      <c r="K42" s="451"/>
      <c r="L42" s="451"/>
      <c r="M42" s="451"/>
      <c r="N42" s="451"/>
      <c r="O42" s="451"/>
      <c r="P42" s="451"/>
      <c r="Q42" s="452"/>
      <c r="R42" s="452"/>
      <c r="S42" s="453"/>
      <c r="T42" s="333"/>
      <c r="U42" s="333"/>
      <c r="V42" s="333"/>
      <c r="W42" s="333"/>
      <c r="X42" s="333"/>
      <c r="Y42" s="333"/>
      <c r="Z42" s="333"/>
      <c r="AA42" s="333"/>
      <c r="AB42" s="333"/>
      <c r="AC42" s="333"/>
      <c r="AD42" s="333"/>
      <c r="AE42" s="333"/>
      <c r="AF42" s="333"/>
      <c r="AG42" s="333"/>
      <c r="AH42" s="333"/>
      <c r="AI42" s="333"/>
      <c r="AJ42" s="333"/>
      <c r="AK42" s="333"/>
      <c r="AL42" s="333"/>
      <c r="AM42" s="333"/>
      <c r="AN42" s="333"/>
      <c r="AO42" s="333"/>
      <c r="AP42" s="333"/>
      <c r="AQ42" s="333"/>
      <c r="AR42" s="333"/>
      <c r="AS42" s="333"/>
      <c r="AT42" s="333"/>
      <c r="AU42" s="333"/>
      <c r="AV42" s="333"/>
      <c r="AW42" s="333"/>
      <c r="AX42" s="333"/>
      <c r="AY42" s="333"/>
      <c r="AZ42" s="333"/>
      <c r="BA42" s="333"/>
      <c r="BB42" s="333"/>
      <c r="BC42" s="333"/>
      <c r="BD42" s="333"/>
      <c r="BE42" s="333"/>
      <c r="BF42" s="333"/>
      <c r="BG42" s="333"/>
      <c r="BH42" s="333"/>
      <c r="BI42" s="333"/>
      <c r="BJ42" s="333"/>
      <c r="BK42" s="333"/>
      <c r="BL42" s="333"/>
      <c r="BM42" s="333"/>
      <c r="BN42" s="333"/>
      <c r="BO42" s="333"/>
      <c r="BP42" s="333"/>
      <c r="BQ42" s="333"/>
      <c r="BR42" s="333"/>
      <c r="BS42" s="333"/>
      <c r="BT42" s="333"/>
      <c r="BU42" s="333"/>
      <c r="BV42" s="333"/>
      <c r="BW42" s="333"/>
      <c r="BX42" s="333"/>
      <c r="BY42" s="333"/>
      <c r="BZ42" s="333"/>
      <c r="CA42" s="333"/>
      <c r="CB42" s="333"/>
      <c r="CC42" s="333"/>
      <c r="CD42" s="333"/>
      <c r="CE42" s="333"/>
      <c r="CF42" s="333"/>
      <c r="CG42" s="333"/>
      <c r="CH42" s="333"/>
      <c r="CI42" s="333"/>
      <c r="CJ42" s="333"/>
      <c r="CK42" s="333"/>
      <c r="CL42" s="333"/>
      <c r="CM42" s="333"/>
      <c r="CN42" s="333"/>
      <c r="CO42" s="333"/>
      <c r="CP42" s="333"/>
      <c r="CQ42" s="333"/>
      <c r="CR42" s="333"/>
      <c r="CS42" s="333"/>
      <c r="CT42" s="333"/>
      <c r="CU42" s="333"/>
      <c r="CV42" s="333"/>
      <c r="CW42" s="333"/>
      <c r="CX42" s="333"/>
      <c r="CY42" s="333"/>
      <c r="CZ42" s="333"/>
      <c r="DA42" s="333"/>
      <c r="DB42" s="333"/>
      <c r="DC42" s="333"/>
      <c r="DD42" s="333"/>
      <c r="DE42" s="333"/>
      <c r="DF42" s="333"/>
      <c r="DG42" s="333"/>
      <c r="DH42" s="333"/>
      <c r="DI42" s="333"/>
      <c r="DJ42" s="333"/>
      <c r="DK42" s="333"/>
      <c r="DL42" s="333"/>
      <c r="DM42" s="333"/>
      <c r="DN42" s="333"/>
      <c r="DO42" s="333"/>
      <c r="DP42" s="333"/>
      <c r="DQ42" s="333"/>
      <c r="DR42" s="333"/>
      <c r="DS42" s="333"/>
      <c r="DT42" s="333"/>
      <c r="DU42" s="333"/>
    </row>
    <row r="43" spans="1:125" s="335" customFormat="1" ht="67.5" customHeight="1">
      <c r="A43" s="454"/>
      <c r="B43" s="444"/>
      <c r="C43" s="455"/>
      <c r="D43" s="388" t="s">
        <v>195</v>
      </c>
      <c r="E43" s="456"/>
      <c r="F43" s="447"/>
      <c r="G43" s="457"/>
      <c r="H43" s="437"/>
      <c r="I43" s="458"/>
      <c r="J43" s="465"/>
      <c r="K43" s="333"/>
      <c r="L43" s="466"/>
      <c r="M43" s="466"/>
      <c r="N43" s="466"/>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3"/>
      <c r="AL43" s="333"/>
      <c r="AM43" s="333"/>
      <c r="AN43" s="333"/>
      <c r="AO43" s="333"/>
      <c r="AP43" s="333"/>
      <c r="AQ43" s="333"/>
      <c r="AR43" s="333"/>
      <c r="AS43" s="333"/>
      <c r="AT43" s="333"/>
      <c r="AU43" s="333"/>
      <c r="AV43" s="333"/>
      <c r="AW43" s="333"/>
      <c r="AX43" s="333"/>
      <c r="AY43" s="333"/>
      <c r="AZ43" s="333"/>
      <c r="BA43" s="333"/>
      <c r="BB43" s="333"/>
      <c r="BC43" s="333"/>
      <c r="BD43" s="333"/>
      <c r="BE43" s="333"/>
      <c r="BF43" s="333"/>
      <c r="BG43" s="333"/>
      <c r="BH43" s="333"/>
      <c r="BI43" s="333"/>
      <c r="BJ43" s="333"/>
      <c r="BK43" s="333"/>
      <c r="BL43" s="333"/>
      <c r="BM43" s="333"/>
      <c r="BN43" s="333"/>
      <c r="BO43" s="333"/>
      <c r="BP43" s="333"/>
      <c r="BQ43" s="333"/>
      <c r="BR43" s="333"/>
      <c r="BS43" s="333"/>
      <c r="BT43" s="333"/>
      <c r="BU43" s="333"/>
      <c r="BV43" s="333"/>
      <c r="BW43" s="333"/>
      <c r="BX43" s="333"/>
      <c r="BY43" s="333"/>
      <c r="BZ43" s="333"/>
      <c r="CA43" s="333"/>
      <c r="CB43" s="333"/>
      <c r="CC43" s="333"/>
      <c r="CD43" s="333"/>
      <c r="CE43" s="333"/>
      <c r="CF43" s="333"/>
      <c r="CG43" s="333"/>
      <c r="CH43" s="333"/>
      <c r="CI43" s="333"/>
      <c r="CJ43" s="333"/>
      <c r="CK43" s="333"/>
      <c r="CL43" s="333"/>
      <c r="CM43" s="333"/>
      <c r="CN43" s="333"/>
      <c r="CO43" s="333"/>
      <c r="CP43" s="333"/>
      <c r="CQ43" s="333"/>
      <c r="CR43" s="333"/>
      <c r="CS43" s="333"/>
      <c r="CT43" s="333"/>
      <c r="CU43" s="333"/>
      <c r="CV43" s="333"/>
      <c r="CW43" s="333"/>
      <c r="CX43" s="333"/>
      <c r="CY43" s="333"/>
      <c r="CZ43" s="333"/>
      <c r="DA43" s="333"/>
      <c r="DB43" s="333"/>
      <c r="DC43" s="333"/>
      <c r="DD43" s="333"/>
      <c r="DE43" s="333"/>
      <c r="DF43" s="333"/>
      <c r="DG43" s="333"/>
      <c r="DH43" s="333"/>
      <c r="DI43" s="333"/>
      <c r="DJ43" s="333"/>
      <c r="DK43" s="333"/>
      <c r="DL43" s="333"/>
      <c r="DM43" s="333"/>
      <c r="DN43" s="333"/>
      <c r="DO43" s="333"/>
      <c r="DP43" s="333"/>
      <c r="DQ43" s="333"/>
      <c r="DR43" s="333"/>
      <c r="DS43" s="333"/>
      <c r="DT43" s="333"/>
      <c r="DU43" s="333"/>
    </row>
    <row r="44" spans="1:125" s="335" customFormat="1" ht="27" customHeight="1">
      <c r="A44" s="434">
        <v>9</v>
      </c>
      <c r="B44" s="424" t="s">
        <v>133</v>
      </c>
      <c r="C44" s="427" t="s">
        <v>209</v>
      </c>
      <c r="D44" s="435" t="s">
        <v>637</v>
      </c>
      <c r="E44" s="435" t="s">
        <v>125</v>
      </c>
      <c r="F44" s="436">
        <f>F45</f>
        <v>17.556000000000001</v>
      </c>
      <c r="G44" s="437">
        <f>SUM(H46:H49)/F44</f>
        <v>0</v>
      </c>
      <c r="H44" s="437">
        <f>F44*G44</f>
        <v>0</v>
      </c>
      <c r="I44" s="332" t="s">
        <v>739</v>
      </c>
      <c r="J44" s="459"/>
      <c r="K44" s="452"/>
      <c r="L44" s="452"/>
      <c r="M44" s="452"/>
      <c r="N44" s="452"/>
      <c r="O44" s="452"/>
      <c r="P44" s="452"/>
      <c r="Q44" s="452"/>
      <c r="R44" s="452"/>
      <c r="S44" s="452"/>
      <c r="T44" s="333"/>
      <c r="U44" s="333"/>
      <c r="V44" s="333"/>
      <c r="W44" s="333"/>
      <c r="X44" s="333"/>
      <c r="Y44" s="333"/>
      <c r="Z44" s="333"/>
      <c r="AA44" s="333"/>
      <c r="AB44" s="333"/>
      <c r="AC44" s="333"/>
      <c r="AD44" s="333"/>
      <c r="AE44" s="333"/>
      <c r="AF44" s="333"/>
      <c r="AG44" s="333"/>
      <c r="AH44" s="333"/>
      <c r="AI44" s="333"/>
      <c r="AJ44" s="333"/>
      <c r="AK44" s="333"/>
      <c r="AL44" s="333"/>
      <c r="AM44" s="333"/>
      <c r="AN44" s="333"/>
      <c r="AO44" s="333"/>
      <c r="AP44" s="333"/>
      <c r="AQ44" s="333"/>
      <c r="AR44" s="333"/>
      <c r="AS44" s="333"/>
      <c r="AT44" s="333"/>
      <c r="AU44" s="333"/>
      <c r="AV44" s="333"/>
      <c r="AW44" s="333"/>
      <c r="AX44" s="333"/>
      <c r="AY44" s="333"/>
      <c r="AZ44" s="333"/>
      <c r="BA44" s="333"/>
      <c r="BB44" s="333"/>
      <c r="BC44" s="333"/>
      <c r="BD44" s="333"/>
      <c r="BE44" s="333"/>
      <c r="BF44" s="333"/>
      <c r="BG44" s="333"/>
      <c r="BH44" s="333"/>
      <c r="BI44" s="333"/>
      <c r="BJ44" s="333"/>
      <c r="BK44" s="333"/>
      <c r="BL44" s="333"/>
      <c r="BM44" s="333"/>
      <c r="BN44" s="333"/>
      <c r="BO44" s="333"/>
      <c r="BP44" s="333"/>
      <c r="BQ44" s="333"/>
      <c r="BR44" s="333"/>
      <c r="BS44" s="333"/>
      <c r="BT44" s="333"/>
      <c r="BU44" s="333"/>
      <c r="BV44" s="333"/>
      <c r="BW44" s="333"/>
      <c r="BX44" s="333"/>
      <c r="BY44" s="333"/>
      <c r="BZ44" s="333"/>
      <c r="CA44" s="333"/>
      <c r="CB44" s="333"/>
      <c r="CC44" s="333"/>
      <c r="CD44" s="333"/>
      <c r="CE44" s="333"/>
      <c r="CF44" s="333"/>
      <c r="CG44" s="333"/>
      <c r="CH44" s="333"/>
      <c r="CI44" s="333"/>
      <c r="CJ44" s="333"/>
      <c r="CK44" s="333"/>
      <c r="CL44" s="333"/>
      <c r="CM44" s="333"/>
      <c r="CN44" s="333"/>
      <c r="CO44" s="333"/>
      <c r="CP44" s="333"/>
      <c r="CQ44" s="333"/>
      <c r="CR44" s="333"/>
      <c r="CS44" s="333"/>
      <c r="CT44" s="333"/>
      <c r="CU44" s="333"/>
      <c r="CV44" s="333"/>
      <c r="CW44" s="333"/>
      <c r="CX44" s="333"/>
      <c r="CY44" s="333"/>
      <c r="CZ44" s="333"/>
      <c r="DA44" s="333"/>
      <c r="DB44" s="333"/>
      <c r="DC44" s="333"/>
      <c r="DD44" s="333"/>
      <c r="DE44" s="333"/>
      <c r="DF44" s="333"/>
      <c r="DG44" s="333"/>
      <c r="DH44" s="333"/>
      <c r="DI44" s="333"/>
      <c r="DJ44" s="333"/>
      <c r="DK44" s="333"/>
      <c r="DL44" s="333"/>
      <c r="DM44" s="333"/>
      <c r="DN44" s="333"/>
      <c r="DO44" s="333"/>
      <c r="DP44" s="333"/>
      <c r="DQ44" s="333"/>
      <c r="DR44" s="333"/>
      <c r="DS44" s="333"/>
      <c r="DT44" s="333"/>
      <c r="DU44" s="333"/>
    </row>
    <row r="45" spans="1:125" s="335" customFormat="1" ht="13.5" customHeight="1">
      <c r="A45" s="379"/>
      <c r="B45" s="85"/>
      <c r="C45" s="85"/>
      <c r="D45" s="117" t="s">
        <v>688</v>
      </c>
      <c r="E45" s="439"/>
      <c r="F45" s="337">
        <f>17.556</f>
        <v>17.556000000000001</v>
      </c>
      <c r="G45" s="440"/>
      <c r="H45" s="440"/>
      <c r="I45" s="441"/>
      <c r="J45" s="463"/>
      <c r="K45" s="452"/>
      <c r="L45" s="464"/>
      <c r="M45" s="452"/>
      <c r="N45" s="452"/>
      <c r="O45" s="452"/>
      <c r="P45" s="452"/>
      <c r="Q45" s="452"/>
      <c r="R45" s="452"/>
      <c r="S45" s="452"/>
      <c r="T45" s="333"/>
      <c r="U45" s="333"/>
      <c r="V45" s="333"/>
      <c r="W45" s="333"/>
      <c r="X45" s="333"/>
      <c r="Y45" s="333"/>
      <c r="Z45" s="333"/>
      <c r="AA45" s="333"/>
      <c r="AB45" s="333"/>
      <c r="AC45" s="333"/>
      <c r="AD45" s="333"/>
      <c r="AE45" s="333"/>
      <c r="AF45" s="333"/>
      <c r="AG45" s="333"/>
      <c r="AH45" s="333"/>
      <c r="AI45" s="333"/>
      <c r="AJ45" s="333"/>
      <c r="AK45" s="333"/>
      <c r="AL45" s="333"/>
      <c r="AM45" s="333"/>
      <c r="AN45" s="333"/>
      <c r="AO45" s="333"/>
      <c r="AP45" s="333"/>
      <c r="AQ45" s="333"/>
      <c r="AR45" s="333"/>
      <c r="AS45" s="333"/>
      <c r="AT45" s="333"/>
      <c r="AU45" s="333"/>
      <c r="AV45" s="333"/>
      <c r="AW45" s="333"/>
      <c r="AX45" s="333"/>
      <c r="AY45" s="333"/>
      <c r="AZ45" s="333"/>
      <c r="BA45" s="333"/>
      <c r="BB45" s="333"/>
      <c r="BC45" s="333"/>
      <c r="BD45" s="333"/>
      <c r="BE45" s="333"/>
      <c r="BF45" s="333"/>
      <c r="BG45" s="333"/>
      <c r="BH45" s="333"/>
      <c r="BI45" s="333"/>
      <c r="BJ45" s="333"/>
      <c r="BK45" s="333"/>
      <c r="BL45" s="333"/>
      <c r="BM45" s="333"/>
      <c r="BN45" s="333"/>
      <c r="BO45" s="333"/>
      <c r="BP45" s="333"/>
      <c r="BQ45" s="333"/>
      <c r="BR45" s="333"/>
      <c r="BS45" s="333"/>
      <c r="BT45" s="333"/>
      <c r="BU45" s="333"/>
      <c r="BV45" s="333"/>
      <c r="BW45" s="333"/>
      <c r="BX45" s="333"/>
      <c r="BY45" s="333"/>
      <c r="BZ45" s="333"/>
      <c r="CA45" s="333"/>
      <c r="CB45" s="333"/>
      <c r="CC45" s="333"/>
      <c r="CD45" s="333"/>
      <c r="CE45" s="333"/>
      <c r="CF45" s="333"/>
      <c r="CG45" s="333"/>
      <c r="CH45" s="333"/>
      <c r="CI45" s="333"/>
      <c r="CJ45" s="333"/>
      <c r="CK45" s="333"/>
      <c r="CL45" s="333"/>
      <c r="CM45" s="333"/>
      <c r="CN45" s="333"/>
      <c r="CO45" s="333"/>
      <c r="CP45" s="333"/>
      <c r="CQ45" s="333"/>
      <c r="CR45" s="333"/>
      <c r="CS45" s="333"/>
      <c r="CT45" s="333"/>
      <c r="CU45" s="333"/>
      <c r="CV45" s="333"/>
      <c r="CW45" s="333"/>
      <c r="CX45" s="333"/>
      <c r="CY45" s="333"/>
      <c r="CZ45" s="333"/>
      <c r="DA45" s="333"/>
      <c r="DB45" s="333"/>
      <c r="DC45" s="333"/>
      <c r="DD45" s="333"/>
      <c r="DE45" s="333"/>
      <c r="DF45" s="333"/>
      <c r="DG45" s="333"/>
      <c r="DH45" s="333"/>
      <c r="DI45" s="333"/>
      <c r="DJ45" s="333"/>
      <c r="DK45" s="333"/>
      <c r="DL45" s="333"/>
      <c r="DM45" s="333"/>
      <c r="DN45" s="333"/>
      <c r="DO45" s="333"/>
      <c r="DP45" s="333"/>
      <c r="DQ45" s="333"/>
      <c r="DR45" s="333"/>
      <c r="DS45" s="333"/>
      <c r="DT45" s="333"/>
      <c r="DU45" s="333"/>
    </row>
    <row r="46" spans="1:125" s="335" customFormat="1" ht="27" customHeight="1">
      <c r="A46" s="443" t="s">
        <v>436</v>
      </c>
      <c r="B46" s="85"/>
      <c r="C46" s="445">
        <v>997013111</v>
      </c>
      <c r="D46" s="358" t="s">
        <v>187</v>
      </c>
      <c r="E46" s="446" t="s">
        <v>125</v>
      </c>
      <c r="F46" s="447">
        <f>F44</f>
        <v>17.556000000000001</v>
      </c>
      <c r="G46" s="81"/>
      <c r="H46" s="448">
        <f>F46*G46</f>
        <v>0</v>
      </c>
      <c r="I46" s="449" t="s">
        <v>738</v>
      </c>
      <c r="J46" s="450"/>
      <c r="K46" s="451"/>
      <c r="L46" s="451"/>
      <c r="M46" s="451"/>
      <c r="N46" s="451"/>
      <c r="O46" s="451"/>
      <c r="P46" s="451"/>
      <c r="Q46" s="452"/>
      <c r="R46" s="452"/>
      <c r="S46" s="453"/>
      <c r="T46" s="347"/>
      <c r="U46" s="333"/>
      <c r="V46" s="333"/>
      <c r="W46" s="333"/>
      <c r="X46" s="333"/>
      <c r="Y46" s="333"/>
      <c r="Z46" s="333"/>
      <c r="AA46" s="333"/>
      <c r="AB46" s="333"/>
      <c r="AC46" s="333"/>
      <c r="AD46" s="333"/>
      <c r="AE46" s="333"/>
      <c r="AF46" s="333"/>
      <c r="AG46" s="333"/>
      <c r="AH46" s="333"/>
      <c r="AI46" s="333"/>
      <c r="AJ46" s="333"/>
      <c r="AK46" s="333"/>
      <c r="AL46" s="333"/>
      <c r="AM46" s="333"/>
      <c r="AN46" s="333"/>
      <c r="AO46" s="333"/>
      <c r="AP46" s="333"/>
      <c r="AQ46" s="333"/>
      <c r="AR46" s="333"/>
      <c r="AS46" s="333"/>
      <c r="AT46" s="333"/>
      <c r="AU46" s="333"/>
      <c r="AV46" s="333"/>
      <c r="AW46" s="333"/>
      <c r="AX46" s="333"/>
      <c r="AY46" s="333"/>
      <c r="AZ46" s="333"/>
      <c r="BA46" s="333"/>
      <c r="BB46" s="333"/>
      <c r="BC46" s="333"/>
      <c r="BD46" s="333"/>
      <c r="BE46" s="333"/>
      <c r="BF46" s="333"/>
      <c r="BG46" s="333"/>
      <c r="BH46" s="333"/>
      <c r="BI46" s="333"/>
      <c r="BJ46" s="333"/>
      <c r="BK46" s="333"/>
      <c r="BL46" s="333"/>
      <c r="BM46" s="333"/>
      <c r="BN46" s="333"/>
      <c r="BO46" s="333"/>
      <c r="BP46" s="333"/>
      <c r="BQ46" s="333"/>
      <c r="BR46" s="333"/>
      <c r="BS46" s="333"/>
      <c r="BT46" s="333"/>
      <c r="BU46" s="333"/>
      <c r="BV46" s="333"/>
      <c r="BW46" s="333"/>
      <c r="BX46" s="333"/>
      <c r="BY46" s="333"/>
      <c r="BZ46" s="333"/>
      <c r="CA46" s="333"/>
      <c r="CB46" s="333"/>
      <c r="CC46" s="333"/>
      <c r="CD46" s="333"/>
      <c r="CE46" s="333"/>
      <c r="CF46" s="333"/>
      <c r="CG46" s="333"/>
      <c r="CH46" s="333"/>
      <c r="CI46" s="333"/>
      <c r="CJ46" s="333"/>
      <c r="CK46" s="333"/>
      <c r="CL46" s="333"/>
      <c r="CM46" s="333"/>
      <c r="CN46" s="333"/>
      <c r="CO46" s="333"/>
      <c r="CP46" s="333"/>
      <c r="CQ46" s="333"/>
      <c r="CR46" s="333"/>
      <c r="CS46" s="333"/>
      <c r="CT46" s="333"/>
      <c r="CU46" s="333"/>
      <c r="CV46" s="333"/>
      <c r="CW46" s="333"/>
      <c r="CX46" s="333"/>
      <c r="CY46" s="333"/>
      <c r="CZ46" s="333"/>
      <c r="DA46" s="333"/>
      <c r="DB46" s="333"/>
      <c r="DC46" s="333"/>
      <c r="DD46" s="333"/>
      <c r="DE46" s="333"/>
      <c r="DF46" s="333"/>
      <c r="DG46" s="333"/>
      <c r="DH46" s="333"/>
      <c r="DI46" s="333"/>
      <c r="DJ46" s="333"/>
      <c r="DK46" s="333"/>
      <c r="DL46" s="333"/>
      <c r="DM46" s="333"/>
      <c r="DN46" s="333"/>
      <c r="DO46" s="333"/>
      <c r="DP46" s="333"/>
      <c r="DQ46" s="333"/>
      <c r="DR46" s="333"/>
      <c r="DS46" s="333"/>
      <c r="DT46" s="333"/>
      <c r="DU46" s="333"/>
    </row>
    <row r="47" spans="1:125" s="335" customFormat="1" ht="13.5" customHeight="1">
      <c r="A47" s="443" t="s">
        <v>437</v>
      </c>
      <c r="B47" s="444"/>
      <c r="C47" s="445">
        <v>997006512</v>
      </c>
      <c r="D47" s="358" t="s">
        <v>188</v>
      </c>
      <c r="E47" s="446" t="s">
        <v>125</v>
      </c>
      <c r="F47" s="447">
        <f>F44</f>
        <v>17.556000000000001</v>
      </c>
      <c r="G47" s="81"/>
      <c r="H47" s="448">
        <f>F47*G47</f>
        <v>0</v>
      </c>
      <c r="I47" s="449" t="s">
        <v>738</v>
      </c>
      <c r="J47" s="450"/>
      <c r="K47" s="451"/>
      <c r="L47" s="451"/>
      <c r="M47" s="451"/>
      <c r="N47" s="451"/>
      <c r="O47" s="451"/>
      <c r="P47" s="451"/>
      <c r="Q47" s="452"/>
      <c r="R47" s="452"/>
      <c r="S47" s="453"/>
      <c r="T47" s="333"/>
      <c r="U47" s="333"/>
      <c r="V47" s="333"/>
      <c r="W47" s="333"/>
      <c r="X47" s="333"/>
      <c r="Y47" s="333"/>
      <c r="Z47" s="333"/>
      <c r="AA47" s="333"/>
      <c r="AB47" s="333"/>
      <c r="AC47" s="333"/>
      <c r="AD47" s="333"/>
      <c r="AE47" s="333"/>
      <c r="AF47" s="333"/>
      <c r="AG47" s="333"/>
      <c r="AH47" s="333"/>
      <c r="AI47" s="333"/>
      <c r="AJ47" s="333"/>
      <c r="AK47" s="333"/>
      <c r="AL47" s="333"/>
      <c r="AM47" s="333"/>
      <c r="AN47" s="333"/>
      <c r="AO47" s="333"/>
      <c r="AP47" s="333"/>
      <c r="AQ47" s="333"/>
      <c r="AR47" s="333"/>
      <c r="AS47" s="333"/>
      <c r="AT47" s="333"/>
      <c r="AU47" s="333"/>
      <c r="AV47" s="333"/>
      <c r="AW47" s="333"/>
      <c r="AX47" s="333"/>
      <c r="AY47" s="333"/>
      <c r="AZ47" s="333"/>
      <c r="BA47" s="333"/>
      <c r="BB47" s="333"/>
      <c r="BC47" s="333"/>
      <c r="BD47" s="333"/>
      <c r="BE47" s="333"/>
      <c r="BF47" s="333"/>
      <c r="BG47" s="333"/>
      <c r="BH47" s="333"/>
      <c r="BI47" s="333"/>
      <c r="BJ47" s="333"/>
      <c r="BK47" s="333"/>
      <c r="BL47" s="333"/>
      <c r="BM47" s="333"/>
      <c r="BN47" s="333"/>
      <c r="BO47" s="333"/>
      <c r="BP47" s="333"/>
      <c r="BQ47" s="333"/>
      <c r="BR47" s="333"/>
      <c r="BS47" s="333"/>
      <c r="BT47" s="333"/>
      <c r="BU47" s="333"/>
      <c r="BV47" s="333"/>
      <c r="BW47" s="333"/>
      <c r="BX47" s="333"/>
      <c r="BY47" s="333"/>
      <c r="BZ47" s="333"/>
      <c r="CA47" s="333"/>
      <c r="CB47" s="333"/>
      <c r="CC47" s="333"/>
      <c r="CD47" s="333"/>
      <c r="CE47" s="333"/>
      <c r="CF47" s="333"/>
      <c r="CG47" s="333"/>
      <c r="CH47" s="333"/>
      <c r="CI47" s="333"/>
      <c r="CJ47" s="333"/>
      <c r="CK47" s="333"/>
      <c r="CL47" s="333"/>
      <c r="CM47" s="333"/>
      <c r="CN47" s="333"/>
      <c r="CO47" s="333"/>
      <c r="CP47" s="333"/>
      <c r="CQ47" s="333"/>
      <c r="CR47" s="333"/>
      <c r="CS47" s="333"/>
      <c r="CT47" s="333"/>
      <c r="CU47" s="333"/>
      <c r="CV47" s="333"/>
      <c r="CW47" s="333"/>
      <c r="CX47" s="333"/>
      <c r="CY47" s="333"/>
      <c r="CZ47" s="333"/>
      <c r="DA47" s="333"/>
      <c r="DB47" s="333"/>
      <c r="DC47" s="333"/>
      <c r="DD47" s="333"/>
      <c r="DE47" s="333"/>
      <c r="DF47" s="333"/>
      <c r="DG47" s="333"/>
      <c r="DH47" s="333"/>
      <c r="DI47" s="333"/>
      <c r="DJ47" s="333"/>
      <c r="DK47" s="333"/>
      <c r="DL47" s="333"/>
      <c r="DM47" s="333"/>
      <c r="DN47" s="333"/>
      <c r="DO47" s="333"/>
      <c r="DP47" s="333"/>
      <c r="DQ47" s="333"/>
      <c r="DR47" s="333"/>
      <c r="DS47" s="333"/>
      <c r="DT47" s="333"/>
      <c r="DU47" s="333"/>
    </row>
    <row r="48" spans="1:125" s="335" customFormat="1" ht="27" customHeight="1">
      <c r="A48" s="443" t="s">
        <v>438</v>
      </c>
      <c r="B48" s="444"/>
      <c r="C48" s="445">
        <v>997006519</v>
      </c>
      <c r="D48" s="358" t="s">
        <v>189</v>
      </c>
      <c r="E48" s="446" t="s">
        <v>125</v>
      </c>
      <c r="F48" s="447">
        <f>F44*5</f>
        <v>87.78</v>
      </c>
      <c r="G48" s="81"/>
      <c r="H48" s="448">
        <f>F48*G48</f>
        <v>0</v>
      </c>
      <c r="I48" s="449" t="s">
        <v>738</v>
      </c>
      <c r="J48" s="450"/>
      <c r="K48" s="451"/>
      <c r="L48" s="451"/>
      <c r="M48" s="451"/>
      <c r="N48" s="451"/>
      <c r="O48" s="451"/>
      <c r="P48" s="451"/>
      <c r="Q48" s="452"/>
      <c r="R48" s="452"/>
      <c r="S48" s="453"/>
      <c r="T48" s="333"/>
      <c r="U48" s="333"/>
      <c r="V48" s="333"/>
      <c r="W48" s="333"/>
      <c r="X48" s="333"/>
      <c r="Y48" s="333"/>
      <c r="Z48" s="333"/>
      <c r="AA48" s="333"/>
      <c r="AB48" s="333"/>
      <c r="AC48" s="333"/>
      <c r="AD48" s="333"/>
      <c r="AE48" s="333"/>
      <c r="AF48" s="333"/>
      <c r="AG48" s="333"/>
      <c r="AH48" s="333"/>
      <c r="AI48" s="333"/>
      <c r="AJ48" s="333"/>
      <c r="AK48" s="333"/>
      <c r="AL48" s="333"/>
      <c r="AM48" s="333"/>
      <c r="AN48" s="333"/>
      <c r="AO48" s="333"/>
      <c r="AP48" s="333"/>
      <c r="AQ48" s="333"/>
      <c r="AR48" s="333"/>
      <c r="AS48" s="333"/>
      <c r="AT48" s="333"/>
      <c r="AU48" s="333"/>
      <c r="AV48" s="333"/>
      <c r="AW48" s="333"/>
      <c r="AX48" s="333"/>
      <c r="AY48" s="333"/>
      <c r="AZ48" s="333"/>
      <c r="BA48" s="333"/>
      <c r="BB48" s="333"/>
      <c r="BC48" s="333"/>
      <c r="BD48" s="333"/>
      <c r="BE48" s="333"/>
      <c r="BF48" s="333"/>
      <c r="BG48" s="333"/>
      <c r="BH48" s="333"/>
      <c r="BI48" s="333"/>
      <c r="BJ48" s="333"/>
      <c r="BK48" s="333"/>
      <c r="BL48" s="333"/>
      <c r="BM48" s="333"/>
      <c r="BN48" s="333"/>
      <c r="BO48" s="333"/>
      <c r="BP48" s="333"/>
      <c r="BQ48" s="333"/>
      <c r="BR48" s="333"/>
      <c r="BS48" s="333"/>
      <c r="BT48" s="333"/>
      <c r="BU48" s="333"/>
      <c r="BV48" s="333"/>
      <c r="BW48" s="333"/>
      <c r="BX48" s="333"/>
      <c r="BY48" s="333"/>
      <c r="BZ48" s="333"/>
      <c r="CA48" s="333"/>
      <c r="CB48" s="333"/>
      <c r="CC48" s="333"/>
      <c r="CD48" s="333"/>
      <c r="CE48" s="333"/>
      <c r="CF48" s="333"/>
      <c r="CG48" s="333"/>
      <c r="CH48" s="333"/>
      <c r="CI48" s="333"/>
      <c r="CJ48" s="333"/>
      <c r="CK48" s="333"/>
      <c r="CL48" s="333"/>
      <c r="CM48" s="333"/>
      <c r="CN48" s="333"/>
      <c r="CO48" s="333"/>
      <c r="CP48" s="333"/>
      <c r="CQ48" s="333"/>
      <c r="CR48" s="333"/>
      <c r="CS48" s="333"/>
      <c r="CT48" s="333"/>
      <c r="CU48" s="333"/>
      <c r="CV48" s="333"/>
      <c r="CW48" s="333"/>
      <c r="CX48" s="333"/>
      <c r="CY48" s="333"/>
      <c r="CZ48" s="333"/>
      <c r="DA48" s="333"/>
      <c r="DB48" s="333"/>
      <c r="DC48" s="333"/>
      <c r="DD48" s="333"/>
      <c r="DE48" s="333"/>
      <c r="DF48" s="333"/>
      <c r="DG48" s="333"/>
      <c r="DH48" s="333"/>
      <c r="DI48" s="333"/>
      <c r="DJ48" s="333"/>
      <c r="DK48" s="333"/>
      <c r="DL48" s="333"/>
      <c r="DM48" s="333"/>
      <c r="DN48" s="333"/>
      <c r="DO48" s="333"/>
      <c r="DP48" s="333"/>
      <c r="DQ48" s="333"/>
      <c r="DR48" s="333"/>
      <c r="DS48" s="333"/>
      <c r="DT48" s="333"/>
      <c r="DU48" s="333"/>
    </row>
    <row r="49" spans="1:125" s="335" customFormat="1" ht="27" customHeight="1">
      <c r="A49" s="443" t="s">
        <v>681</v>
      </c>
      <c r="B49" s="444"/>
      <c r="C49" s="445">
        <v>997013631</v>
      </c>
      <c r="D49" s="358" t="s">
        <v>200</v>
      </c>
      <c r="E49" s="446" t="s">
        <v>125</v>
      </c>
      <c r="F49" s="447">
        <f>F46</f>
        <v>17.556000000000001</v>
      </c>
      <c r="G49" s="81"/>
      <c r="H49" s="448">
        <f>F49*G49</f>
        <v>0</v>
      </c>
      <c r="I49" s="449" t="s">
        <v>738</v>
      </c>
      <c r="J49" s="990"/>
      <c r="K49" s="451"/>
      <c r="L49" s="451"/>
      <c r="M49" s="451"/>
      <c r="N49" s="451"/>
      <c r="O49" s="451"/>
      <c r="P49" s="451"/>
      <c r="Q49" s="452"/>
      <c r="R49" s="452"/>
      <c r="S49" s="453"/>
      <c r="T49" s="333"/>
      <c r="U49" s="333"/>
      <c r="V49" s="333"/>
      <c r="W49" s="333"/>
      <c r="X49" s="333"/>
      <c r="Y49" s="333"/>
      <c r="Z49" s="333"/>
      <c r="AA49" s="333"/>
      <c r="AB49" s="333"/>
      <c r="AC49" s="333"/>
      <c r="AD49" s="333"/>
      <c r="AE49" s="333"/>
      <c r="AF49" s="333"/>
      <c r="AG49" s="333"/>
      <c r="AH49" s="333"/>
      <c r="AI49" s="333"/>
      <c r="AJ49" s="333"/>
      <c r="AK49" s="333"/>
      <c r="AL49" s="333"/>
      <c r="AM49" s="333"/>
      <c r="AN49" s="333"/>
      <c r="AO49" s="333"/>
      <c r="AP49" s="333"/>
      <c r="AQ49" s="333"/>
      <c r="AR49" s="333"/>
      <c r="AS49" s="333"/>
      <c r="AT49" s="333"/>
      <c r="AU49" s="333"/>
      <c r="AV49" s="333"/>
      <c r="AW49" s="333"/>
      <c r="AX49" s="333"/>
      <c r="AY49" s="333"/>
      <c r="AZ49" s="333"/>
      <c r="BA49" s="333"/>
      <c r="BB49" s="333"/>
      <c r="BC49" s="333"/>
      <c r="BD49" s="333"/>
      <c r="BE49" s="333"/>
      <c r="BF49" s="333"/>
      <c r="BG49" s="333"/>
      <c r="BH49" s="333"/>
      <c r="BI49" s="333"/>
      <c r="BJ49" s="333"/>
      <c r="BK49" s="333"/>
      <c r="BL49" s="333"/>
      <c r="BM49" s="333"/>
      <c r="BN49" s="333"/>
      <c r="BO49" s="333"/>
      <c r="BP49" s="333"/>
      <c r="BQ49" s="333"/>
      <c r="BR49" s="333"/>
      <c r="BS49" s="333"/>
      <c r="BT49" s="333"/>
      <c r="BU49" s="333"/>
      <c r="BV49" s="333"/>
      <c r="BW49" s="333"/>
      <c r="BX49" s="333"/>
      <c r="BY49" s="333"/>
      <c r="BZ49" s="333"/>
      <c r="CA49" s="333"/>
      <c r="CB49" s="333"/>
      <c r="CC49" s="333"/>
      <c r="CD49" s="333"/>
      <c r="CE49" s="333"/>
      <c r="CF49" s="333"/>
      <c r="CG49" s="333"/>
      <c r="CH49" s="333"/>
      <c r="CI49" s="333"/>
      <c r="CJ49" s="333"/>
      <c r="CK49" s="333"/>
      <c r="CL49" s="333"/>
      <c r="CM49" s="333"/>
      <c r="CN49" s="333"/>
      <c r="CO49" s="333"/>
      <c r="CP49" s="333"/>
      <c r="CQ49" s="333"/>
      <c r="CR49" s="333"/>
      <c r="CS49" s="333"/>
      <c r="CT49" s="333"/>
      <c r="CU49" s="333"/>
      <c r="CV49" s="333"/>
      <c r="CW49" s="333"/>
      <c r="CX49" s="333"/>
      <c r="CY49" s="333"/>
      <c r="CZ49" s="333"/>
      <c r="DA49" s="333"/>
      <c r="DB49" s="333"/>
      <c r="DC49" s="333"/>
      <c r="DD49" s="333"/>
      <c r="DE49" s="333"/>
      <c r="DF49" s="333"/>
      <c r="DG49" s="333"/>
      <c r="DH49" s="333"/>
      <c r="DI49" s="333"/>
      <c r="DJ49" s="333"/>
      <c r="DK49" s="333"/>
      <c r="DL49" s="333"/>
      <c r="DM49" s="333"/>
      <c r="DN49" s="333"/>
      <c r="DO49" s="333"/>
      <c r="DP49" s="333"/>
      <c r="DQ49" s="333"/>
      <c r="DR49" s="333"/>
      <c r="DS49" s="333"/>
      <c r="DT49" s="333"/>
      <c r="DU49" s="333"/>
    </row>
    <row r="50" spans="1:125" s="335" customFormat="1" ht="67.5" customHeight="1">
      <c r="A50" s="454"/>
      <c r="B50" s="444"/>
      <c r="C50" s="455"/>
      <c r="D50" s="388" t="s">
        <v>195</v>
      </c>
      <c r="E50" s="456"/>
      <c r="F50" s="447"/>
      <c r="G50" s="457"/>
      <c r="H50" s="437"/>
      <c r="I50" s="458"/>
      <c r="J50" s="991"/>
      <c r="K50" s="333"/>
      <c r="L50" s="466"/>
      <c r="M50" s="466"/>
      <c r="N50" s="466"/>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3"/>
      <c r="AL50" s="333"/>
      <c r="AM50" s="333"/>
      <c r="AN50" s="333"/>
      <c r="AO50" s="333"/>
      <c r="AP50" s="333"/>
      <c r="AQ50" s="333"/>
      <c r="AR50" s="333"/>
      <c r="AS50" s="333"/>
      <c r="AT50" s="333"/>
      <c r="AU50" s="333"/>
      <c r="AV50" s="333"/>
      <c r="AW50" s="333"/>
      <c r="AX50" s="333"/>
      <c r="AY50" s="333"/>
      <c r="AZ50" s="333"/>
      <c r="BA50" s="333"/>
      <c r="BB50" s="333"/>
      <c r="BC50" s="333"/>
      <c r="BD50" s="333"/>
      <c r="BE50" s="333"/>
      <c r="BF50" s="333"/>
      <c r="BG50" s="333"/>
      <c r="BH50" s="333"/>
      <c r="BI50" s="333"/>
      <c r="BJ50" s="333"/>
      <c r="BK50" s="333"/>
      <c r="BL50" s="333"/>
      <c r="BM50" s="333"/>
      <c r="BN50" s="333"/>
      <c r="BO50" s="333"/>
      <c r="BP50" s="333"/>
      <c r="BQ50" s="333"/>
      <c r="BR50" s="333"/>
      <c r="BS50" s="333"/>
      <c r="BT50" s="333"/>
      <c r="BU50" s="333"/>
      <c r="BV50" s="333"/>
      <c r="BW50" s="333"/>
      <c r="BX50" s="333"/>
      <c r="BY50" s="333"/>
      <c r="BZ50" s="333"/>
      <c r="CA50" s="333"/>
      <c r="CB50" s="333"/>
      <c r="CC50" s="333"/>
      <c r="CD50" s="333"/>
      <c r="CE50" s="333"/>
      <c r="CF50" s="333"/>
      <c r="CG50" s="333"/>
      <c r="CH50" s="333"/>
      <c r="CI50" s="333"/>
      <c r="CJ50" s="333"/>
      <c r="CK50" s="333"/>
      <c r="CL50" s="333"/>
      <c r="CM50" s="333"/>
      <c r="CN50" s="333"/>
      <c r="CO50" s="333"/>
      <c r="CP50" s="333"/>
      <c r="CQ50" s="333"/>
      <c r="CR50" s="333"/>
      <c r="CS50" s="333"/>
      <c r="CT50" s="333"/>
      <c r="CU50" s="333"/>
      <c r="CV50" s="333"/>
      <c r="CW50" s="333"/>
      <c r="CX50" s="333"/>
      <c r="CY50" s="333"/>
      <c r="CZ50" s="333"/>
      <c r="DA50" s="333"/>
      <c r="DB50" s="333"/>
      <c r="DC50" s="333"/>
      <c r="DD50" s="333"/>
      <c r="DE50" s="333"/>
      <c r="DF50" s="333"/>
      <c r="DG50" s="333"/>
      <c r="DH50" s="333"/>
      <c r="DI50" s="333"/>
      <c r="DJ50" s="333"/>
      <c r="DK50" s="333"/>
      <c r="DL50" s="333"/>
      <c r="DM50" s="333"/>
      <c r="DN50" s="333"/>
      <c r="DO50" s="333"/>
      <c r="DP50" s="333"/>
      <c r="DQ50" s="333"/>
      <c r="DR50" s="333"/>
      <c r="DS50" s="333"/>
      <c r="DT50" s="333"/>
      <c r="DU50" s="333"/>
    </row>
    <row r="51" spans="1:125" s="314" customFormat="1" ht="13.5" customHeight="1">
      <c r="A51" s="467"/>
      <c r="B51" s="468"/>
      <c r="C51" s="468" t="s">
        <v>145</v>
      </c>
      <c r="D51" s="468" t="s">
        <v>146</v>
      </c>
      <c r="E51" s="468"/>
      <c r="F51" s="469"/>
      <c r="G51" s="470"/>
      <c r="H51" s="470">
        <f>SUM(H52:H54)</f>
        <v>0</v>
      </c>
      <c r="I51" s="1126"/>
      <c r="J51" s="313"/>
      <c r="K51" s="313"/>
      <c r="L51" s="313"/>
      <c r="M51" s="313"/>
      <c r="N51" s="313"/>
      <c r="O51" s="313"/>
      <c r="P51" s="313"/>
      <c r="Q51" s="313"/>
      <c r="R51" s="313"/>
      <c r="S51" s="313"/>
      <c r="T51" s="313"/>
      <c r="U51" s="313"/>
      <c r="V51" s="313"/>
      <c r="W51" s="313"/>
      <c r="X51" s="313"/>
      <c r="Y51" s="313"/>
      <c r="Z51" s="313"/>
      <c r="AA51" s="313"/>
      <c r="AB51" s="313"/>
      <c r="AC51" s="313"/>
      <c r="AD51" s="313"/>
      <c r="AE51" s="313"/>
      <c r="AF51" s="313"/>
      <c r="AG51" s="313"/>
      <c r="AH51" s="313"/>
      <c r="AI51" s="313"/>
      <c r="AJ51" s="313"/>
      <c r="AK51" s="313"/>
      <c r="AL51" s="313"/>
      <c r="AM51" s="313"/>
      <c r="AN51" s="313"/>
      <c r="AO51" s="313"/>
      <c r="AP51" s="313"/>
      <c r="AQ51" s="313"/>
      <c r="AR51" s="313"/>
      <c r="AS51" s="313"/>
      <c r="AT51" s="313"/>
      <c r="AU51" s="313"/>
      <c r="AV51" s="313"/>
    </row>
    <row r="52" spans="1:125" s="314" customFormat="1" ht="27" customHeight="1">
      <c r="A52" s="352">
        <v>10</v>
      </c>
      <c r="B52" s="354">
        <v>221</v>
      </c>
      <c r="C52" s="354">
        <v>998225111</v>
      </c>
      <c r="D52" s="354" t="s">
        <v>184</v>
      </c>
      <c r="E52" s="354" t="s">
        <v>125</v>
      </c>
      <c r="F52" s="355">
        <v>13.57</v>
      </c>
      <c r="G52" s="503"/>
      <c r="H52" s="356">
        <f>F52*G52</f>
        <v>0</v>
      </c>
      <c r="I52" s="360" t="s">
        <v>738</v>
      </c>
      <c r="J52" s="472"/>
      <c r="K52" s="313"/>
      <c r="L52" s="313"/>
      <c r="M52" s="313"/>
      <c r="N52" s="313"/>
      <c r="O52" s="313"/>
      <c r="P52" s="313"/>
      <c r="Q52" s="313"/>
      <c r="R52" s="313"/>
      <c r="S52" s="313"/>
      <c r="T52" s="313"/>
      <c r="U52" s="313"/>
      <c r="V52" s="313"/>
      <c r="W52" s="313"/>
      <c r="X52" s="313"/>
      <c r="Y52" s="313"/>
      <c r="Z52" s="313"/>
      <c r="AA52" s="313"/>
      <c r="AB52" s="313"/>
      <c r="AC52" s="313"/>
      <c r="AD52" s="313"/>
      <c r="AE52" s="313"/>
      <c r="AF52" s="313"/>
      <c r="AG52" s="313"/>
      <c r="AH52" s="313"/>
      <c r="AI52" s="313"/>
      <c r="AJ52" s="313"/>
      <c r="AK52" s="313"/>
      <c r="AL52" s="313"/>
      <c r="AM52" s="313"/>
      <c r="AN52" s="313"/>
      <c r="AO52" s="313"/>
      <c r="AP52" s="313"/>
      <c r="AQ52" s="313"/>
      <c r="AR52" s="313"/>
      <c r="AS52" s="313"/>
      <c r="AT52" s="313"/>
      <c r="AU52" s="313"/>
      <c r="AV52" s="313"/>
    </row>
    <row r="53" spans="1:125" s="314" customFormat="1" ht="13.5" customHeight="1">
      <c r="A53" s="352">
        <v>11</v>
      </c>
      <c r="B53" s="354" t="s">
        <v>148</v>
      </c>
      <c r="C53" s="354" t="s">
        <v>149</v>
      </c>
      <c r="D53" s="354" t="s">
        <v>150</v>
      </c>
      <c r="E53" s="354" t="s">
        <v>151</v>
      </c>
      <c r="F53" s="355">
        <f>F54</f>
        <v>10</v>
      </c>
      <c r="G53" s="503"/>
      <c r="H53" s="356">
        <f>F53*G53</f>
        <v>0</v>
      </c>
      <c r="I53" s="360" t="s">
        <v>738</v>
      </c>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J53" s="313"/>
      <c r="AK53" s="313"/>
      <c r="AL53" s="313"/>
      <c r="AM53" s="313"/>
      <c r="AN53" s="313"/>
      <c r="AO53" s="313"/>
      <c r="AP53" s="313"/>
      <c r="AQ53" s="313"/>
      <c r="AR53" s="313"/>
      <c r="AS53" s="313"/>
      <c r="AT53" s="313"/>
      <c r="AU53" s="313"/>
      <c r="AV53" s="313"/>
    </row>
    <row r="54" spans="1:125" s="314" customFormat="1" ht="27" customHeight="1">
      <c r="A54" s="473"/>
      <c r="B54" s="354"/>
      <c r="C54" s="354"/>
      <c r="D54" s="358" t="s">
        <v>165</v>
      </c>
      <c r="E54" s="354"/>
      <c r="F54" s="392">
        <v>10</v>
      </c>
      <c r="G54" s="356"/>
      <c r="H54" s="356"/>
      <c r="I54" s="360"/>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3"/>
      <c r="AL54" s="313"/>
      <c r="AM54" s="313"/>
      <c r="AN54" s="313"/>
      <c r="AO54" s="313"/>
      <c r="AP54" s="313"/>
      <c r="AQ54" s="313"/>
      <c r="AR54" s="313"/>
      <c r="AS54" s="313"/>
      <c r="AT54" s="313"/>
      <c r="AU54" s="313"/>
      <c r="AV54" s="313"/>
    </row>
    <row r="55" spans="1:125" s="314" customFormat="1" ht="21" customHeight="1">
      <c r="A55" s="474"/>
      <c r="B55" s="475"/>
      <c r="C55" s="475"/>
      <c r="D55" s="475" t="s">
        <v>18</v>
      </c>
      <c r="E55" s="475"/>
      <c r="F55" s="476"/>
      <c r="G55" s="477"/>
      <c r="H55" s="477">
        <f>H9</f>
        <v>0</v>
      </c>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3"/>
      <c r="AL55" s="313"/>
      <c r="AM55" s="313"/>
      <c r="AN55" s="313"/>
      <c r="AO55" s="313"/>
      <c r="AP55" s="313"/>
      <c r="AQ55" s="313"/>
      <c r="AR55" s="313"/>
      <c r="AS55" s="313"/>
      <c r="AT55" s="313"/>
      <c r="AU55" s="313"/>
      <c r="AV55" s="313"/>
      <c r="AW55" s="313"/>
      <c r="AX55" s="313"/>
      <c r="AY55" s="313"/>
      <c r="AZ55" s="313"/>
      <c r="BA55" s="313"/>
      <c r="BB55" s="313"/>
      <c r="BC55" s="313"/>
      <c r="BD55" s="313"/>
      <c r="BE55" s="313"/>
      <c r="BF55" s="313"/>
      <c r="BG55" s="313"/>
      <c r="BH55" s="313"/>
      <c r="BI55" s="313"/>
      <c r="BJ55" s="313"/>
      <c r="BK55" s="313"/>
      <c r="BL55" s="313"/>
      <c r="BM55" s="313"/>
      <c r="BN55" s="313"/>
      <c r="BO55" s="313"/>
      <c r="BP55" s="313"/>
      <c r="BQ55" s="313"/>
      <c r="BR55" s="313"/>
      <c r="BS55" s="313"/>
      <c r="BT55" s="313"/>
      <c r="BU55" s="313"/>
      <c r="BV55" s="313"/>
      <c r="BW55" s="313"/>
      <c r="BX55" s="313"/>
      <c r="BY55" s="313"/>
      <c r="BZ55" s="313"/>
      <c r="CA55" s="313"/>
      <c r="CB55" s="313"/>
      <c r="CC55" s="313"/>
      <c r="CD55" s="313"/>
      <c r="CE55" s="313"/>
      <c r="CF55" s="313"/>
      <c r="CG55" s="313"/>
      <c r="CH55" s="313"/>
      <c r="CI55" s="313"/>
      <c r="CJ55" s="313"/>
      <c r="CK55" s="313"/>
      <c r="CL55" s="313"/>
      <c r="CM55" s="313"/>
      <c r="CN55" s="313"/>
      <c r="CO55" s="313"/>
      <c r="CP55" s="313"/>
      <c r="CQ55" s="313"/>
      <c r="CR55" s="313"/>
      <c r="CS55" s="313"/>
      <c r="CT55" s="313"/>
      <c r="CU55" s="313"/>
      <c r="CV55" s="313"/>
      <c r="CW55" s="313"/>
      <c r="CX55" s="313"/>
      <c r="CY55" s="313"/>
      <c r="CZ55" s="313"/>
      <c r="DA55" s="313"/>
      <c r="DB55" s="313"/>
      <c r="DC55" s="313"/>
      <c r="DD55" s="313"/>
      <c r="DE55" s="313"/>
      <c r="DF55" s="313"/>
      <c r="DG55" s="313"/>
      <c r="DH55" s="313"/>
      <c r="DI55" s="313"/>
      <c r="DJ55" s="313"/>
      <c r="DK55" s="313"/>
      <c r="DL55" s="313"/>
      <c r="DM55" s="313"/>
      <c r="DN55" s="313"/>
      <c r="DO55" s="313"/>
      <c r="DP55" s="313"/>
      <c r="DQ55" s="313"/>
      <c r="DR55" s="313"/>
      <c r="DS55" s="313"/>
      <c r="DT55" s="313"/>
      <c r="DU55" s="313"/>
    </row>
    <row r="57" spans="1:125" s="314" customFormat="1" ht="13.5" customHeight="1">
      <c r="A57" s="478" t="s">
        <v>88</v>
      </c>
      <c r="B57" s="479"/>
      <c r="C57" s="480"/>
      <c r="D57" s="481" t="s">
        <v>367</v>
      </c>
      <c r="E57" s="482"/>
      <c r="F57" s="483"/>
      <c r="G57" s="484"/>
      <c r="H57" s="485">
        <f>H55</f>
        <v>0</v>
      </c>
      <c r="I57" s="313"/>
      <c r="J57" s="313"/>
      <c r="K57" s="313"/>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13"/>
      <c r="AI57" s="313"/>
      <c r="AJ57" s="313"/>
      <c r="AK57" s="313"/>
      <c r="AL57" s="313"/>
      <c r="AM57" s="313"/>
      <c r="AN57" s="313"/>
      <c r="AO57" s="313"/>
      <c r="AP57" s="313"/>
      <c r="AQ57" s="313"/>
      <c r="AR57" s="313"/>
      <c r="AS57" s="313"/>
      <c r="AT57" s="313"/>
      <c r="AU57" s="313"/>
      <c r="AV57" s="313"/>
      <c r="AW57" s="313"/>
      <c r="AX57" s="313"/>
      <c r="AY57" s="313"/>
      <c r="AZ57" s="313"/>
      <c r="BA57" s="313"/>
      <c r="BB57" s="313"/>
      <c r="BC57" s="313"/>
      <c r="BD57" s="313"/>
      <c r="BE57" s="313"/>
      <c r="BF57" s="313"/>
      <c r="BG57" s="313"/>
      <c r="BH57" s="313"/>
      <c r="BI57" s="313"/>
      <c r="BJ57" s="313"/>
      <c r="BK57" s="313"/>
      <c r="BL57" s="313"/>
      <c r="BM57" s="313"/>
      <c r="BN57" s="313"/>
      <c r="BO57" s="313"/>
      <c r="BP57" s="313"/>
      <c r="BQ57" s="313"/>
      <c r="BR57" s="313"/>
      <c r="BS57" s="313"/>
      <c r="BT57" s="313"/>
      <c r="BU57" s="313"/>
      <c r="BV57" s="313"/>
      <c r="BW57" s="313"/>
      <c r="BX57" s="313"/>
      <c r="BY57" s="313"/>
      <c r="BZ57" s="313"/>
      <c r="CA57" s="313"/>
      <c r="CB57" s="313"/>
      <c r="CC57" s="313"/>
      <c r="CD57" s="313"/>
      <c r="CE57" s="313"/>
      <c r="CF57" s="313"/>
      <c r="CG57" s="313"/>
      <c r="CH57" s="313"/>
      <c r="CI57" s="313"/>
      <c r="CJ57" s="313"/>
      <c r="CK57" s="313"/>
      <c r="CL57" s="313"/>
      <c r="CM57" s="313"/>
      <c r="CN57" s="313"/>
      <c r="CO57" s="313"/>
      <c r="CP57" s="313"/>
      <c r="CQ57" s="313"/>
      <c r="CR57" s="313"/>
      <c r="CS57" s="313"/>
      <c r="CT57" s="313"/>
      <c r="CU57" s="313"/>
      <c r="CV57" s="313"/>
      <c r="CW57" s="313"/>
      <c r="CX57" s="313"/>
      <c r="CY57" s="313"/>
      <c r="CZ57" s="313"/>
      <c r="DA57" s="313"/>
      <c r="DB57" s="313"/>
      <c r="DC57" s="313"/>
      <c r="DD57" s="313"/>
      <c r="DE57" s="313"/>
      <c r="DF57" s="313"/>
      <c r="DG57" s="313"/>
      <c r="DH57" s="313"/>
      <c r="DI57" s="313"/>
      <c r="DJ57" s="313"/>
      <c r="DK57" s="313"/>
      <c r="DL57" s="313"/>
      <c r="DM57" s="313"/>
      <c r="DN57" s="313"/>
      <c r="DO57" s="313"/>
      <c r="DP57" s="313"/>
      <c r="DQ57" s="313"/>
      <c r="DR57" s="313"/>
      <c r="DS57" s="313"/>
      <c r="DT57" s="313"/>
      <c r="DU57" s="313"/>
    </row>
    <row r="58" spans="1:125" s="314" customFormat="1" ht="13.5" customHeight="1">
      <c r="A58" s="486"/>
      <c r="B58" s="487"/>
      <c r="C58" s="487"/>
      <c r="D58" s="488"/>
      <c r="E58" s="489"/>
      <c r="F58" s="490"/>
      <c r="G58" s="491"/>
      <c r="H58" s="492"/>
      <c r="I58" s="313"/>
      <c r="J58" s="313"/>
      <c r="K58" s="313"/>
      <c r="L58" s="313"/>
      <c r="M58" s="313"/>
      <c r="N58" s="313"/>
      <c r="O58" s="313"/>
      <c r="P58" s="313"/>
      <c r="Q58" s="313"/>
      <c r="R58" s="313"/>
      <c r="S58" s="313"/>
      <c r="T58" s="313"/>
      <c r="U58" s="313"/>
      <c r="V58" s="313"/>
      <c r="W58" s="313"/>
      <c r="X58" s="313"/>
      <c r="Y58" s="313"/>
      <c r="Z58" s="313"/>
      <c r="AA58" s="313"/>
      <c r="AB58" s="313"/>
      <c r="AC58" s="313"/>
      <c r="AD58" s="313"/>
      <c r="AE58" s="313"/>
      <c r="AF58" s="313"/>
      <c r="AG58" s="313"/>
      <c r="AH58" s="313"/>
      <c r="AI58" s="313"/>
      <c r="AJ58" s="313"/>
      <c r="AK58" s="313"/>
      <c r="AL58" s="313"/>
      <c r="AM58" s="313"/>
      <c r="AN58" s="313"/>
      <c r="AO58" s="313"/>
      <c r="AP58" s="313"/>
      <c r="AQ58" s="313"/>
      <c r="AR58" s="313"/>
      <c r="AS58" s="313"/>
      <c r="AT58" s="313"/>
      <c r="AU58" s="313"/>
      <c r="AV58" s="313"/>
      <c r="AW58" s="313"/>
      <c r="AX58" s="313"/>
      <c r="AY58" s="313"/>
      <c r="AZ58" s="313"/>
      <c r="BA58" s="313"/>
      <c r="BB58" s="313"/>
      <c r="BC58" s="313"/>
      <c r="BD58" s="313"/>
      <c r="BE58" s="313"/>
      <c r="BF58" s="313"/>
      <c r="BG58" s="313"/>
      <c r="BH58" s="313"/>
      <c r="BI58" s="313"/>
      <c r="BJ58" s="313"/>
      <c r="BK58" s="313"/>
      <c r="BL58" s="313"/>
      <c r="BM58" s="313"/>
      <c r="BN58" s="313"/>
      <c r="BO58" s="313"/>
      <c r="BP58" s="313"/>
      <c r="BQ58" s="313"/>
      <c r="BR58" s="313"/>
      <c r="BS58" s="313"/>
      <c r="BT58" s="313"/>
      <c r="BU58" s="313"/>
      <c r="BV58" s="313"/>
      <c r="BW58" s="313"/>
      <c r="BX58" s="313"/>
      <c r="BY58" s="313"/>
      <c r="BZ58" s="313"/>
      <c r="CA58" s="313"/>
      <c r="CB58" s="313"/>
      <c r="CC58" s="313"/>
      <c r="CD58" s="313"/>
      <c r="CE58" s="313"/>
      <c r="CF58" s="313"/>
      <c r="CG58" s="313"/>
      <c r="CH58" s="313"/>
      <c r="CI58" s="313"/>
      <c r="CJ58" s="313"/>
      <c r="CK58" s="313"/>
      <c r="CL58" s="313"/>
      <c r="CM58" s="313"/>
      <c r="CN58" s="313"/>
      <c r="CO58" s="313"/>
      <c r="CP58" s="313"/>
      <c r="CQ58" s="313"/>
      <c r="CR58" s="313"/>
      <c r="CS58" s="313"/>
      <c r="CT58" s="313"/>
      <c r="CU58" s="313"/>
      <c r="CV58" s="313"/>
      <c r="CW58" s="313"/>
      <c r="CX58" s="313"/>
      <c r="CY58" s="313"/>
      <c r="CZ58" s="313"/>
      <c r="DA58" s="313"/>
      <c r="DB58" s="313"/>
      <c r="DC58" s="313"/>
      <c r="DD58" s="313"/>
      <c r="DE58" s="313"/>
      <c r="DF58" s="313"/>
      <c r="DG58" s="313"/>
      <c r="DH58" s="313"/>
      <c r="DI58" s="313"/>
      <c r="DJ58" s="313"/>
      <c r="DK58" s="313"/>
      <c r="DL58" s="313"/>
      <c r="DM58" s="313"/>
      <c r="DN58" s="313"/>
      <c r="DO58" s="313"/>
      <c r="DP58" s="313"/>
      <c r="DQ58" s="313"/>
      <c r="DR58" s="313"/>
      <c r="DS58" s="313"/>
      <c r="DT58" s="313"/>
      <c r="DU58" s="313"/>
    </row>
    <row r="59" spans="1:125" s="307" customFormat="1" ht="11.25">
      <c r="A59" s="69" t="s">
        <v>22</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c r="BC59" s="69"/>
      <c r="BD59" s="69"/>
      <c r="BE59" s="69"/>
      <c r="BF59" s="69"/>
      <c r="BG59" s="69"/>
      <c r="BH59" s="69"/>
      <c r="BI59" s="69"/>
      <c r="BJ59" s="69"/>
      <c r="BK59" s="69"/>
      <c r="BL59" s="69"/>
      <c r="BM59" s="69"/>
      <c r="BN59" s="69"/>
      <c r="BO59" s="69"/>
      <c r="BP59" s="69"/>
      <c r="BQ59" s="69"/>
      <c r="BR59" s="69"/>
      <c r="BS59" s="69"/>
      <c r="BT59" s="69"/>
      <c r="BU59" s="69"/>
      <c r="BV59" s="69"/>
      <c r="BW59" s="69"/>
      <c r="BX59" s="69"/>
      <c r="BY59" s="69"/>
      <c r="BZ59" s="69"/>
      <c r="CA59" s="69"/>
      <c r="CB59" s="69"/>
      <c r="CC59" s="69"/>
      <c r="CD59" s="69"/>
      <c r="CE59" s="69"/>
      <c r="CF59" s="69"/>
      <c r="CG59" s="69"/>
      <c r="CH59" s="69"/>
      <c r="CI59" s="69"/>
      <c r="CJ59" s="69"/>
      <c r="CK59" s="69"/>
      <c r="CL59" s="69"/>
      <c r="CM59" s="69"/>
      <c r="CN59" s="69"/>
      <c r="CO59" s="69"/>
      <c r="CP59" s="69"/>
      <c r="CQ59" s="69"/>
      <c r="CR59" s="69"/>
      <c r="CS59" s="69"/>
      <c r="CT59" s="69"/>
      <c r="CU59" s="69"/>
      <c r="CV59" s="69"/>
      <c r="CW59" s="69"/>
      <c r="CX59" s="69"/>
      <c r="CY59" s="69"/>
      <c r="CZ59" s="69"/>
      <c r="DA59" s="69"/>
      <c r="DB59" s="69"/>
      <c r="DC59" s="69"/>
      <c r="DD59" s="69"/>
      <c r="DE59" s="69"/>
      <c r="DF59" s="69"/>
      <c r="DG59" s="69"/>
      <c r="DH59" s="69"/>
      <c r="DI59" s="69"/>
      <c r="DJ59" s="69"/>
      <c r="DK59" s="69"/>
      <c r="DL59" s="69"/>
      <c r="DM59" s="69"/>
      <c r="DN59" s="69"/>
      <c r="DO59" s="69"/>
      <c r="DP59" s="69"/>
      <c r="DQ59" s="69"/>
      <c r="DR59" s="69"/>
      <c r="DS59" s="69"/>
      <c r="DT59" s="69"/>
      <c r="DU59" s="69"/>
    </row>
    <row r="60" spans="1:125" s="307" customFormat="1" ht="23.45" customHeight="1">
      <c r="A60" s="143" t="s">
        <v>89</v>
      </c>
      <c r="B60" s="493"/>
      <c r="C60" s="493"/>
      <c r="D60" s="493"/>
      <c r="E60" s="493"/>
      <c r="F60" s="493"/>
      <c r="G60" s="493"/>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69"/>
      <c r="BK60" s="69"/>
      <c r="BL60" s="69"/>
      <c r="BM60" s="69"/>
      <c r="BN60" s="69"/>
      <c r="BO60" s="69"/>
      <c r="BP60" s="69"/>
      <c r="BQ60" s="69"/>
      <c r="BR60" s="69"/>
      <c r="BS60" s="69"/>
      <c r="BT60" s="69"/>
      <c r="BU60" s="69"/>
      <c r="BV60" s="69"/>
      <c r="BW60" s="69"/>
      <c r="BX60" s="69"/>
      <c r="BY60" s="69"/>
      <c r="BZ60" s="69"/>
      <c r="CA60" s="69"/>
      <c r="CB60" s="69"/>
      <c r="CC60" s="69"/>
      <c r="CD60" s="69"/>
      <c r="CE60" s="69"/>
      <c r="CF60" s="69"/>
      <c r="CG60" s="69"/>
      <c r="CH60" s="69"/>
      <c r="CI60" s="69"/>
      <c r="CJ60" s="69"/>
      <c r="CK60" s="69"/>
      <c r="CL60" s="69"/>
      <c r="CM60" s="69"/>
      <c r="CN60" s="69"/>
      <c r="CO60" s="69"/>
      <c r="CP60" s="69"/>
      <c r="CQ60" s="69"/>
      <c r="CR60" s="69"/>
      <c r="CS60" s="69"/>
      <c r="CT60" s="69"/>
      <c r="CU60" s="69"/>
      <c r="CV60" s="69"/>
      <c r="CW60" s="69"/>
      <c r="CX60" s="69"/>
      <c r="CY60" s="69"/>
      <c r="CZ60" s="69"/>
      <c r="DA60" s="69"/>
      <c r="DB60" s="69"/>
      <c r="DC60" s="69"/>
      <c r="DD60" s="69"/>
      <c r="DE60" s="69"/>
      <c r="DF60" s="69"/>
      <c r="DG60" s="69"/>
      <c r="DH60" s="69"/>
      <c r="DI60" s="69"/>
      <c r="DJ60" s="69"/>
      <c r="DK60" s="69"/>
      <c r="DL60" s="69"/>
      <c r="DM60" s="69"/>
      <c r="DN60" s="69"/>
      <c r="DO60" s="69"/>
      <c r="DP60" s="69"/>
      <c r="DQ60" s="69"/>
      <c r="DR60" s="69"/>
      <c r="DS60" s="69"/>
      <c r="DT60" s="69"/>
      <c r="DU60" s="69"/>
    </row>
    <row r="61" spans="1:125" s="307" customFormat="1" ht="93.75" customHeight="1">
      <c r="A61" s="143" t="s">
        <v>90</v>
      </c>
      <c r="B61" s="150"/>
      <c r="C61" s="150"/>
      <c r="D61" s="150"/>
      <c r="E61" s="150"/>
      <c r="F61" s="150"/>
      <c r="G61" s="150"/>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69"/>
      <c r="BK61" s="69"/>
      <c r="BL61" s="69"/>
      <c r="BM61" s="69"/>
      <c r="BN61" s="69"/>
      <c r="BO61" s="69"/>
      <c r="BP61" s="69"/>
      <c r="BQ61" s="69"/>
      <c r="BR61" s="69"/>
      <c r="BS61" s="69"/>
      <c r="BT61" s="69"/>
      <c r="BU61" s="69"/>
      <c r="BV61" s="69"/>
      <c r="BW61" s="69"/>
      <c r="BX61" s="69"/>
      <c r="BY61" s="69"/>
      <c r="BZ61" s="69"/>
      <c r="CA61" s="69"/>
      <c r="CB61" s="69"/>
      <c r="CC61" s="69"/>
      <c r="CD61" s="69"/>
      <c r="CE61" s="69"/>
      <c r="CF61" s="69"/>
      <c r="CG61" s="69"/>
      <c r="CH61" s="69"/>
      <c r="CI61" s="69"/>
      <c r="CJ61" s="69"/>
      <c r="CK61" s="69"/>
      <c r="CL61" s="69"/>
      <c r="CM61" s="69"/>
      <c r="CN61" s="69"/>
      <c r="CO61" s="69"/>
      <c r="CP61" s="69"/>
      <c r="CQ61" s="69"/>
      <c r="CR61" s="69"/>
      <c r="CS61" s="69"/>
      <c r="CT61" s="69"/>
      <c r="CU61" s="69"/>
      <c r="CV61" s="69"/>
      <c r="CW61" s="69"/>
      <c r="CX61" s="69"/>
      <c r="CY61" s="69"/>
      <c r="CZ61" s="69"/>
      <c r="DA61" s="69"/>
      <c r="DB61" s="69"/>
      <c r="DC61" s="69"/>
      <c r="DD61" s="69"/>
      <c r="DE61" s="69"/>
      <c r="DF61" s="69"/>
      <c r="DG61" s="69"/>
      <c r="DH61" s="69"/>
      <c r="DI61" s="69"/>
      <c r="DJ61" s="69"/>
      <c r="DK61" s="69"/>
      <c r="DL61" s="69"/>
      <c r="DM61" s="69"/>
      <c r="DN61" s="69"/>
      <c r="DO61" s="69"/>
      <c r="DP61" s="69"/>
      <c r="DQ61" s="69"/>
      <c r="DR61" s="69"/>
      <c r="DS61" s="69"/>
      <c r="DT61" s="69"/>
      <c r="DU61" s="69"/>
    </row>
    <row r="62" spans="1:125" s="496" customFormat="1" ht="13.5" customHeight="1">
      <c r="A62" s="143" t="s">
        <v>69</v>
      </c>
      <c r="B62" s="494"/>
      <c r="C62" s="494"/>
      <c r="D62" s="494"/>
      <c r="E62" s="494"/>
      <c r="F62" s="494"/>
      <c r="G62" s="494"/>
      <c r="H62" s="70"/>
      <c r="I62" s="71"/>
      <c r="J62" s="495"/>
      <c r="K62" s="495"/>
      <c r="L62" s="495"/>
      <c r="M62" s="495"/>
      <c r="N62" s="495"/>
      <c r="O62" s="495"/>
      <c r="P62" s="495"/>
      <c r="Q62" s="495"/>
      <c r="R62" s="495"/>
      <c r="S62" s="495"/>
      <c r="T62" s="495"/>
      <c r="U62" s="495"/>
      <c r="V62" s="495"/>
      <c r="W62" s="495"/>
      <c r="X62" s="495"/>
      <c r="Y62" s="495"/>
      <c r="Z62" s="495"/>
      <c r="AA62" s="495"/>
      <c r="AB62" s="495"/>
      <c r="AC62" s="495"/>
      <c r="AD62" s="495"/>
      <c r="AE62" s="495"/>
      <c r="AF62" s="495"/>
      <c r="AG62" s="495"/>
      <c r="AH62" s="495"/>
      <c r="AI62" s="495"/>
      <c r="AJ62" s="495"/>
      <c r="AK62" s="495"/>
      <c r="AL62" s="495"/>
      <c r="AM62" s="495"/>
      <c r="AN62" s="495"/>
      <c r="AO62" s="495"/>
      <c r="AP62" s="495"/>
      <c r="AQ62" s="495"/>
      <c r="AR62" s="495"/>
      <c r="AS62" s="495"/>
      <c r="AT62" s="495"/>
      <c r="AU62" s="495"/>
      <c r="AV62" s="495"/>
      <c r="AW62" s="495"/>
      <c r="AX62" s="495"/>
      <c r="AY62" s="495"/>
      <c r="AZ62" s="495"/>
      <c r="BA62" s="495"/>
      <c r="BB62" s="495"/>
      <c r="BC62" s="495"/>
      <c r="BD62" s="495"/>
      <c r="BE62" s="495"/>
      <c r="BF62" s="495"/>
      <c r="BG62" s="495"/>
      <c r="BH62" s="495"/>
      <c r="BI62" s="495"/>
      <c r="BJ62" s="495"/>
      <c r="BK62" s="495"/>
      <c r="BL62" s="495"/>
      <c r="BM62" s="495"/>
      <c r="BN62" s="495"/>
      <c r="BO62" s="495"/>
      <c r="BP62" s="495"/>
      <c r="BQ62" s="495"/>
      <c r="BR62" s="495"/>
      <c r="BS62" s="495"/>
      <c r="BT62" s="495"/>
      <c r="BU62" s="495"/>
      <c r="BV62" s="495"/>
      <c r="BW62" s="495"/>
      <c r="BX62" s="495"/>
      <c r="BY62" s="495"/>
      <c r="BZ62" s="495"/>
      <c r="CA62" s="495"/>
      <c r="CB62" s="495"/>
      <c r="CC62" s="495"/>
      <c r="CD62" s="495"/>
      <c r="CE62" s="495"/>
      <c r="CF62" s="495"/>
      <c r="CG62" s="495"/>
      <c r="CH62" s="495"/>
      <c r="CI62" s="495"/>
      <c r="CJ62" s="495"/>
      <c r="CK62" s="495"/>
      <c r="CL62" s="495"/>
      <c r="CM62" s="495"/>
      <c r="CN62" s="495"/>
      <c r="CO62" s="495"/>
      <c r="CP62" s="495"/>
      <c r="CQ62" s="495"/>
      <c r="CR62" s="495"/>
      <c r="CS62" s="495"/>
      <c r="CT62" s="495"/>
      <c r="CU62" s="495"/>
      <c r="CV62" s="495"/>
      <c r="CW62" s="495"/>
      <c r="CX62" s="495"/>
      <c r="CY62" s="495"/>
      <c r="CZ62" s="495"/>
      <c r="DA62" s="495"/>
      <c r="DB62" s="495"/>
      <c r="DC62" s="495"/>
      <c r="DD62" s="495"/>
      <c r="DE62" s="495"/>
      <c r="DF62" s="495"/>
      <c r="DG62" s="495"/>
      <c r="DH62" s="495"/>
      <c r="DI62" s="495"/>
      <c r="DJ62" s="495"/>
      <c r="DK62" s="495"/>
      <c r="DL62" s="495"/>
      <c r="DM62" s="495"/>
      <c r="DN62" s="495"/>
      <c r="DO62" s="495"/>
      <c r="DP62" s="495"/>
      <c r="DQ62" s="495"/>
      <c r="DR62" s="495"/>
      <c r="DS62" s="495"/>
      <c r="DT62" s="495"/>
      <c r="DU62" s="495"/>
    </row>
    <row r="63" spans="1:125" s="496" customFormat="1" ht="13.5" customHeight="1">
      <c r="A63" s="143" t="s">
        <v>70</v>
      </c>
      <c r="B63" s="494"/>
      <c r="C63" s="494"/>
      <c r="D63" s="494"/>
      <c r="E63" s="494"/>
      <c r="F63" s="494"/>
      <c r="G63" s="494"/>
      <c r="H63" s="70"/>
      <c r="I63" s="71"/>
      <c r="J63" s="495"/>
      <c r="K63" s="495"/>
      <c r="L63" s="495"/>
      <c r="M63" s="495"/>
      <c r="N63" s="495"/>
      <c r="O63" s="495"/>
      <c r="P63" s="495"/>
      <c r="Q63" s="495"/>
      <c r="R63" s="495"/>
      <c r="S63" s="495"/>
      <c r="T63" s="495"/>
      <c r="U63" s="495"/>
      <c r="V63" s="495"/>
      <c r="W63" s="495"/>
      <c r="X63" s="495"/>
      <c r="Y63" s="495"/>
      <c r="Z63" s="495"/>
      <c r="AA63" s="495"/>
      <c r="AB63" s="495"/>
      <c r="AC63" s="495"/>
      <c r="AD63" s="495"/>
      <c r="AE63" s="495"/>
      <c r="AF63" s="495"/>
      <c r="AG63" s="495"/>
      <c r="AH63" s="495"/>
      <c r="AI63" s="495"/>
      <c r="AJ63" s="495"/>
      <c r="AK63" s="495"/>
      <c r="AL63" s="495"/>
      <c r="AM63" s="495"/>
      <c r="AN63" s="495"/>
      <c r="AO63" s="495"/>
      <c r="AP63" s="495"/>
      <c r="AQ63" s="495"/>
      <c r="AR63" s="495"/>
      <c r="AS63" s="495"/>
      <c r="AT63" s="495"/>
      <c r="AU63" s="495"/>
      <c r="AV63" s="495"/>
      <c r="AW63" s="495"/>
      <c r="AX63" s="495"/>
      <c r="AY63" s="495"/>
      <c r="AZ63" s="495"/>
      <c r="BA63" s="495"/>
      <c r="BB63" s="495"/>
      <c r="BC63" s="495"/>
      <c r="BD63" s="495"/>
      <c r="BE63" s="495"/>
      <c r="BF63" s="495"/>
      <c r="BG63" s="495"/>
      <c r="BH63" s="495"/>
      <c r="BI63" s="495"/>
      <c r="BJ63" s="495"/>
      <c r="BK63" s="495"/>
      <c r="BL63" s="495"/>
      <c r="BM63" s="495"/>
      <c r="BN63" s="495"/>
      <c r="BO63" s="495"/>
      <c r="BP63" s="495"/>
      <c r="BQ63" s="495"/>
      <c r="BR63" s="495"/>
      <c r="BS63" s="495"/>
      <c r="BT63" s="495"/>
      <c r="BU63" s="495"/>
      <c r="BV63" s="495"/>
      <c r="BW63" s="495"/>
      <c r="BX63" s="495"/>
      <c r="BY63" s="495"/>
      <c r="BZ63" s="495"/>
      <c r="CA63" s="495"/>
      <c r="CB63" s="495"/>
      <c r="CC63" s="495"/>
      <c r="CD63" s="495"/>
      <c r="CE63" s="495"/>
      <c r="CF63" s="495"/>
      <c r="CG63" s="495"/>
      <c r="CH63" s="495"/>
      <c r="CI63" s="495"/>
      <c r="CJ63" s="495"/>
      <c r="CK63" s="495"/>
      <c r="CL63" s="495"/>
      <c r="CM63" s="495"/>
      <c r="CN63" s="495"/>
      <c r="CO63" s="495"/>
      <c r="CP63" s="495"/>
      <c r="CQ63" s="495"/>
      <c r="CR63" s="495"/>
      <c r="CS63" s="495"/>
      <c r="CT63" s="495"/>
      <c r="CU63" s="495"/>
      <c r="CV63" s="495"/>
      <c r="CW63" s="495"/>
      <c r="CX63" s="495"/>
      <c r="CY63" s="495"/>
      <c r="CZ63" s="495"/>
      <c r="DA63" s="495"/>
      <c r="DB63" s="495"/>
      <c r="DC63" s="495"/>
      <c r="DD63" s="495"/>
      <c r="DE63" s="495"/>
      <c r="DF63" s="495"/>
      <c r="DG63" s="495"/>
      <c r="DH63" s="495"/>
      <c r="DI63" s="495"/>
      <c r="DJ63" s="495"/>
      <c r="DK63" s="495"/>
      <c r="DL63" s="495"/>
      <c r="DM63" s="495"/>
      <c r="DN63" s="495"/>
      <c r="DO63" s="495"/>
      <c r="DP63" s="495"/>
      <c r="DQ63" s="495"/>
      <c r="DR63" s="495"/>
      <c r="DS63" s="495"/>
      <c r="DT63" s="495"/>
      <c r="DU63" s="495"/>
    </row>
    <row r="64" spans="1:125" s="496" customFormat="1" ht="54" customHeight="1">
      <c r="A64" s="497" t="s">
        <v>352</v>
      </c>
      <c r="B64" s="497"/>
      <c r="C64" s="497"/>
      <c r="D64" s="497"/>
      <c r="E64" s="497"/>
      <c r="F64" s="497"/>
      <c r="G64" s="497"/>
      <c r="H64" s="70"/>
      <c r="I64" s="71"/>
      <c r="J64" s="495"/>
      <c r="K64" s="495"/>
      <c r="L64" s="495"/>
      <c r="M64" s="495"/>
      <c r="N64" s="495"/>
      <c r="O64" s="495"/>
      <c r="P64" s="495"/>
      <c r="Q64" s="495"/>
      <c r="R64" s="495"/>
      <c r="S64" s="495"/>
      <c r="T64" s="495"/>
      <c r="U64" s="495"/>
      <c r="V64" s="495"/>
      <c r="W64" s="495"/>
      <c r="X64" s="495"/>
      <c r="Y64" s="495"/>
      <c r="Z64" s="495"/>
      <c r="AA64" s="495"/>
      <c r="AB64" s="495"/>
      <c r="AC64" s="495"/>
      <c r="AD64" s="495"/>
      <c r="AE64" s="495"/>
      <c r="AF64" s="495"/>
      <c r="AG64" s="495"/>
      <c r="AH64" s="495"/>
      <c r="AI64" s="495"/>
      <c r="AJ64" s="495"/>
      <c r="AK64" s="495"/>
      <c r="AL64" s="495"/>
      <c r="AM64" s="495"/>
      <c r="AN64" s="495"/>
      <c r="AO64" s="495"/>
      <c r="AP64" s="495"/>
      <c r="AQ64" s="495"/>
      <c r="AR64" s="495"/>
      <c r="AS64" s="495"/>
      <c r="AT64" s="495"/>
      <c r="AU64" s="495"/>
      <c r="AV64" s="495"/>
      <c r="AW64" s="495"/>
      <c r="AX64" s="495"/>
      <c r="AY64" s="495"/>
      <c r="AZ64" s="495"/>
      <c r="BA64" s="495"/>
      <c r="BB64" s="495"/>
      <c r="BC64" s="495"/>
      <c r="BD64" s="495"/>
      <c r="BE64" s="495"/>
      <c r="BF64" s="495"/>
      <c r="BG64" s="495"/>
      <c r="BH64" s="495"/>
      <c r="BI64" s="495"/>
      <c r="BJ64" s="495"/>
      <c r="BK64" s="495"/>
      <c r="BL64" s="495"/>
      <c r="BM64" s="495"/>
      <c r="BN64" s="495"/>
      <c r="BO64" s="495"/>
      <c r="BP64" s="495"/>
      <c r="BQ64" s="495"/>
      <c r="BR64" s="495"/>
      <c r="BS64" s="495"/>
      <c r="BT64" s="495"/>
      <c r="BU64" s="495"/>
      <c r="BV64" s="495"/>
      <c r="BW64" s="495"/>
      <c r="BX64" s="495"/>
      <c r="BY64" s="495"/>
      <c r="BZ64" s="495"/>
      <c r="CA64" s="495"/>
      <c r="CB64" s="495"/>
      <c r="CC64" s="495"/>
      <c r="CD64" s="495"/>
      <c r="CE64" s="495"/>
      <c r="CF64" s="495"/>
      <c r="CG64" s="495"/>
      <c r="CH64" s="495"/>
      <c r="CI64" s="495"/>
      <c r="CJ64" s="495"/>
      <c r="CK64" s="495"/>
      <c r="CL64" s="495"/>
      <c r="CM64" s="495"/>
      <c r="CN64" s="495"/>
      <c r="CO64" s="495"/>
      <c r="CP64" s="495"/>
      <c r="CQ64" s="495"/>
      <c r="CR64" s="495"/>
      <c r="CS64" s="495"/>
      <c r="CT64" s="495"/>
      <c r="CU64" s="495"/>
      <c r="CV64" s="495"/>
      <c r="CW64" s="495"/>
      <c r="CX64" s="495"/>
      <c r="CY64" s="495"/>
      <c r="CZ64" s="495"/>
      <c r="DA64" s="495"/>
      <c r="DB64" s="495"/>
      <c r="DC64" s="495"/>
      <c r="DD64" s="495"/>
      <c r="DE64" s="495"/>
      <c r="DF64" s="495"/>
      <c r="DG64" s="495"/>
      <c r="DH64" s="495"/>
      <c r="DI64" s="495"/>
      <c r="DJ64" s="495"/>
      <c r="DK64" s="495"/>
      <c r="DL64" s="495"/>
      <c r="DM64" s="495"/>
      <c r="DN64" s="495"/>
      <c r="DO64" s="495"/>
      <c r="DP64" s="495"/>
      <c r="DQ64" s="495"/>
      <c r="DR64" s="495"/>
      <c r="DS64" s="495"/>
      <c r="DT64" s="495"/>
      <c r="DU64" s="495"/>
    </row>
  </sheetData>
  <sheetProtection algorithmName="SHA-512" hashValue="/Q5GTddWTh1Z9E4ZLox3Zyg9TStAIXIZtTOyThJRSSG7mpwrHUI2Kq/1606CcRumejwWhUcLTc+1NK1uI3KIGQ==" saltValue="UV7LdK4zI4FzfztSgFb21w==" spinCount="100000" sheet="1" objects="1" scenarios="1"/>
  <mergeCells count="8">
    <mergeCell ref="A63:G63"/>
    <mergeCell ref="A64:G64"/>
    <mergeCell ref="A2:D2"/>
    <mergeCell ref="A3:D3"/>
    <mergeCell ref="A57:C57"/>
    <mergeCell ref="A60:G60"/>
    <mergeCell ref="A61:G61"/>
    <mergeCell ref="A62:G62"/>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5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31</vt:i4>
      </vt:variant>
    </vt:vector>
  </HeadingPairs>
  <TitlesOfParts>
    <vt:vector size="41" baseType="lpstr">
      <vt:lpstr>KL</vt:lpstr>
      <vt:lpstr>VRN</vt:lpstr>
      <vt:lpstr>1 - GARÁŽ - BP</vt:lpstr>
      <vt:lpstr>1 - ODPOJENÍ OD VODOVODU</vt:lpstr>
      <vt:lpstr>1 - ODPOJENÍ OD KANALIZACE</vt:lpstr>
      <vt:lpstr>1 - ODPOJENÍ OD SILOVÉHO VEDENÍ</vt:lpstr>
      <vt:lpstr>2_a - DÍLNA</vt:lpstr>
      <vt:lpstr>2 - ODPOJENÍ OD SILOVÉHO VEDENÍ</vt:lpstr>
      <vt:lpstr>2_b - SKLENÍK</vt:lpstr>
      <vt:lpstr>ZPEVNĚNÉ PLOCHY + SADOVKY</vt:lpstr>
      <vt:lpstr>KL!CelkemObjekty</vt:lpstr>
      <vt:lpstr>KL!dadresa</vt:lpstr>
      <vt:lpstr>KL!NazevObjektu</vt:lpstr>
      <vt:lpstr>KL!NazevStavby</vt:lpstr>
      <vt:lpstr>KL!Objednatel</vt:lpstr>
      <vt:lpstr>KL!Objekt</vt:lpstr>
      <vt:lpstr>'1 - GARÁŽ - BP'!Oblast_tisku</vt:lpstr>
      <vt:lpstr>'1 - ODPOJENÍ OD KANALIZACE'!Oblast_tisku</vt:lpstr>
      <vt:lpstr>'1 - ODPOJENÍ OD SILOVÉHO VEDENÍ'!Oblast_tisku</vt:lpstr>
      <vt:lpstr>'1 - ODPOJENÍ OD VODOVODU'!Oblast_tisku</vt:lpstr>
      <vt:lpstr>'2 - ODPOJENÍ OD SILOVÉHO VEDENÍ'!Oblast_tisku</vt:lpstr>
      <vt:lpstr>'2_a - DÍLNA'!Oblast_tisku</vt:lpstr>
      <vt:lpstr>'2_b - SKLENÍK'!Oblast_tisku</vt:lpstr>
      <vt:lpstr>KL!Oblast_tisku</vt:lpstr>
      <vt:lpstr>VRN!Oblast_tisku</vt:lpstr>
      <vt:lpstr>'ZPEVNĚNÉ PLOCHY + SADOVKY'!Oblast_tisku</vt:lpstr>
      <vt:lpstr>KL!onazev</vt:lpstr>
      <vt:lpstr>'1 - GARÁŽ - BP'!Print_Area</vt:lpstr>
      <vt:lpstr>'1 - ODPOJENÍ OD KANALIZACE'!Print_Area</vt:lpstr>
      <vt:lpstr>'1 - ODPOJENÍ OD SILOVÉHO VEDENÍ'!Print_Area</vt:lpstr>
      <vt:lpstr>'1 - ODPOJENÍ OD VODOVODU'!Print_Area</vt:lpstr>
      <vt:lpstr>'2 - ODPOJENÍ OD SILOVÉHO VEDENÍ'!Print_Area</vt:lpstr>
      <vt:lpstr>'2_a - DÍLNA'!Print_Area</vt:lpstr>
      <vt:lpstr>'2_b - SKLENÍK'!Print_Area</vt:lpstr>
      <vt:lpstr>KL!Print_Area</vt:lpstr>
      <vt:lpstr>VRN!Print_Area</vt:lpstr>
      <vt:lpstr>'ZPEVNĚNÉ PLOCHY + SADOVKY'!Print_Area</vt:lpstr>
      <vt:lpstr>KL!SazbaDPH1</vt:lpstr>
      <vt:lpstr>KL!SazbaDPH2</vt:lpstr>
      <vt:lpstr>KL!StavbaCelkem</vt:lpstr>
      <vt:lpstr>KL!Zhotovitel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kureckap</dc:creator>
  <cp:lastModifiedBy>Kurečka Petr</cp:lastModifiedBy>
  <cp:lastPrinted>2021-12-09T10:39:08Z</cp:lastPrinted>
  <dcterms:created xsi:type="dcterms:W3CDTF">2021-01-27T06:52:21Z</dcterms:created>
  <dcterms:modified xsi:type="dcterms:W3CDTF">2022-04-06T08:07:41Z</dcterms:modified>
</cp:coreProperties>
</file>